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T:\CO\Admin\Documents\Timing Scope\Appendix B - Estimated Signal Retiming Benefits\"/>
    </mc:Choice>
  </mc:AlternateContent>
  <xr:revisionPtr revIDLastSave="0" documentId="13_ncr:1_{48D8025C-4319-4A6B-B83A-722B095F97F4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Summary" sheetId="1" r:id="rId1"/>
    <sheet name="Corridor Information" sheetId="6" r:id="rId2"/>
    <sheet name="INRIX Data - Travel Time" sheetId="12" r:id="rId3"/>
    <sheet name="Delay" sheetId="2" r:id="rId4"/>
    <sheet name="Safety" sheetId="4" r:id="rId5"/>
    <sheet name="INRIX Data - Speed" sheetId="14" r:id="rId6"/>
    <sheet name="Fuel" sheetId="5" r:id="rId7"/>
    <sheet name="Emissions" sheetId="7" r:id="rId8"/>
    <sheet name="Reference Sheet" sheetId="3" r:id="rId9"/>
    <sheet name="Times" sheetId="13" state="hidden" r:id="rId10"/>
    <sheet name="functional classifications" sheetId="8" state="hidden" r:id="rId11"/>
  </sheets>
  <definedNames>
    <definedName name="_xlnm.Print_Area" localSheetId="8">'Reference Sheet'!$A$1:$G$28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4" l="1"/>
  <c r="H7" i="14"/>
  <c r="H8" i="14"/>
  <c r="H6" i="14"/>
  <c r="D7" i="14"/>
  <c r="D8" i="14"/>
  <c r="D6" i="14"/>
  <c r="D5" i="14"/>
  <c r="C31" i="14"/>
  <c r="D31" i="14"/>
  <c r="F31" i="14"/>
  <c r="G31" i="14"/>
  <c r="I31" i="14"/>
  <c r="J31" i="14"/>
  <c r="L31" i="14"/>
  <c r="M31" i="14"/>
  <c r="O31" i="14"/>
  <c r="P31" i="14"/>
  <c r="R31" i="14"/>
  <c r="S31" i="14"/>
  <c r="C13" i="2"/>
  <c r="G31" i="12"/>
  <c r="C31" i="12"/>
  <c r="R31" i="12" l="1"/>
  <c r="M31" i="12"/>
  <c r="I31" i="12"/>
  <c r="F31" i="12"/>
  <c r="Q14" i="14" l="1"/>
  <c r="Q22" i="14"/>
  <c r="N22" i="14"/>
  <c r="K22" i="14"/>
  <c r="K23" i="14" s="1"/>
  <c r="K24" i="14" s="1"/>
  <c r="K25" i="14" s="1"/>
  <c r="K26" i="14" s="1"/>
  <c r="K27" i="14" s="1"/>
  <c r="K28" i="14" s="1"/>
  <c r="N14" i="14"/>
  <c r="K14" i="14"/>
  <c r="K15" i="14" s="1"/>
  <c r="K16" i="14" s="1"/>
  <c r="K17" i="14" s="1"/>
  <c r="K18" i="14" s="1"/>
  <c r="K19" i="14" s="1"/>
  <c r="K20" i="14" s="1"/>
  <c r="Q23" i="14"/>
  <c r="Q24" i="14" s="1"/>
  <c r="Q25" i="14" s="1"/>
  <c r="Q26" i="14" s="1"/>
  <c r="Q27" i="14" s="1"/>
  <c r="Q28" i="14" s="1"/>
  <c r="N23" i="14"/>
  <c r="N24" i="14" s="1"/>
  <c r="N25" i="14" s="1"/>
  <c r="N26" i="14" s="1"/>
  <c r="N27" i="14" s="1"/>
  <c r="N28" i="14" s="1"/>
  <c r="N15" i="14"/>
  <c r="N16" i="14" s="1"/>
  <c r="N17" i="14" s="1"/>
  <c r="N18" i="14" s="1"/>
  <c r="N19" i="14" s="1"/>
  <c r="N20" i="14" s="1"/>
  <c r="Q15" i="14"/>
  <c r="Q16" i="14" s="1"/>
  <c r="Q17" i="14" s="1"/>
  <c r="Q18" i="14" s="1"/>
  <c r="Q19" i="14" s="1"/>
  <c r="Q20" i="14" s="1"/>
  <c r="Q22" i="12"/>
  <c r="Q23" i="12" s="1"/>
  <c r="Q24" i="12" s="1"/>
  <c r="Q25" i="12" s="1"/>
  <c r="Q26" i="12" s="1"/>
  <c r="Q27" i="12" s="1"/>
  <c r="Q28" i="12" s="1"/>
  <c r="Q14" i="12"/>
  <c r="Q15" i="12" s="1"/>
  <c r="Q16" i="12" s="1"/>
  <c r="Q17" i="12" s="1"/>
  <c r="Q18" i="12" s="1"/>
  <c r="Q19" i="12" s="1"/>
  <c r="Q20" i="12" s="1"/>
  <c r="N22" i="12"/>
  <c r="N23" i="12" s="1"/>
  <c r="N24" i="12" s="1"/>
  <c r="N25" i="12" s="1"/>
  <c r="N26" i="12" s="1"/>
  <c r="N27" i="12" s="1"/>
  <c r="N28" i="12" s="1"/>
  <c r="N14" i="12"/>
  <c r="N15" i="12" s="1"/>
  <c r="N16" i="12" s="1"/>
  <c r="N17" i="12" s="1"/>
  <c r="N18" i="12" s="1"/>
  <c r="N19" i="12" s="1"/>
  <c r="N20" i="12" s="1"/>
  <c r="K22" i="12"/>
  <c r="K23" i="12" s="1"/>
  <c r="K24" i="12" s="1"/>
  <c r="K25" i="12" s="1"/>
  <c r="K26" i="12" s="1"/>
  <c r="K27" i="12" s="1"/>
  <c r="K28" i="12" s="1"/>
  <c r="K14" i="12"/>
  <c r="K15" i="12" s="1"/>
  <c r="K16" i="12" s="1"/>
  <c r="K17" i="12" s="1"/>
  <c r="K18" i="12" s="1"/>
  <c r="K19" i="12" s="1"/>
  <c r="K20" i="12" s="1"/>
  <c r="S31" i="12"/>
  <c r="P31" i="12"/>
  <c r="O31" i="12"/>
  <c r="L31" i="12"/>
  <c r="E22" i="14" l="1"/>
  <c r="E23" i="14" s="1"/>
  <c r="E24" i="14" s="1"/>
  <c r="E25" i="14" s="1"/>
  <c r="E26" i="14" s="1"/>
  <c r="E27" i="14" s="1"/>
  <c r="E28" i="14" s="1"/>
  <c r="H22" i="14"/>
  <c r="H23" i="14" s="1"/>
  <c r="H24" i="14" s="1"/>
  <c r="H25" i="14" s="1"/>
  <c r="H26" i="14" s="1"/>
  <c r="H27" i="14" s="1"/>
  <c r="H28" i="14" s="1"/>
  <c r="B22" i="14"/>
  <c r="B23" i="14" s="1"/>
  <c r="B24" i="14" s="1"/>
  <c r="B25" i="14" s="1"/>
  <c r="B26" i="14" s="1"/>
  <c r="B27" i="14" s="1"/>
  <c r="B28" i="14" s="1"/>
  <c r="A2" i="14"/>
  <c r="E14" i="14" l="1"/>
  <c r="E15" i="14" s="1"/>
  <c r="E16" i="14" s="1"/>
  <c r="E17" i="14" s="1"/>
  <c r="E18" i="14" s="1"/>
  <c r="E19" i="14" s="1"/>
  <c r="E20" i="14" s="1"/>
  <c r="H14" i="14"/>
  <c r="H15" i="14" s="1"/>
  <c r="H16" i="14" s="1"/>
  <c r="H17" i="14" s="1"/>
  <c r="H18" i="14" s="1"/>
  <c r="H19" i="14" s="1"/>
  <c r="H20" i="14" s="1"/>
  <c r="B14" i="14"/>
  <c r="B15" i="14" s="1"/>
  <c r="B16" i="14" s="1"/>
  <c r="B17" i="14" s="1"/>
  <c r="B18" i="14" s="1"/>
  <c r="B19" i="14" s="1"/>
  <c r="B20" i="14" s="1"/>
  <c r="J31" i="12"/>
  <c r="D8" i="2" s="1"/>
  <c r="C8" i="2"/>
  <c r="D7" i="2"/>
  <c r="C7" i="2"/>
  <c r="D31" i="12"/>
  <c r="D6" i="2" s="1"/>
  <c r="C6" i="2"/>
  <c r="C9" i="2" l="1"/>
  <c r="D9" i="2"/>
  <c r="H22" i="12"/>
  <c r="H23" i="12" s="1"/>
  <c r="H24" i="12" s="1"/>
  <c r="H25" i="12" s="1"/>
  <c r="H26" i="12" s="1"/>
  <c r="H27" i="12" s="1"/>
  <c r="H28" i="12" s="1"/>
  <c r="H14" i="12"/>
  <c r="H15" i="12" s="1"/>
  <c r="H16" i="12" s="1"/>
  <c r="H17" i="12" s="1"/>
  <c r="H18" i="12" s="1"/>
  <c r="H19" i="12" s="1"/>
  <c r="H20" i="12" s="1"/>
  <c r="E22" i="12"/>
  <c r="E23" i="12" s="1"/>
  <c r="E24" i="12" s="1"/>
  <c r="E25" i="12" s="1"/>
  <c r="E26" i="12" s="1"/>
  <c r="E27" i="12" s="1"/>
  <c r="E28" i="12" s="1"/>
  <c r="E14" i="12"/>
  <c r="E15" i="12" s="1"/>
  <c r="E16" i="12" s="1"/>
  <c r="E17" i="12" s="1"/>
  <c r="E18" i="12" s="1"/>
  <c r="E19" i="12" s="1"/>
  <c r="E20" i="12" s="1"/>
  <c r="B22" i="12"/>
  <c r="B23" i="12" s="1"/>
  <c r="B24" i="12" s="1"/>
  <c r="B25" i="12" s="1"/>
  <c r="B26" i="12" s="1"/>
  <c r="B27" i="12" s="1"/>
  <c r="B28" i="12" s="1"/>
  <c r="B14" i="12"/>
  <c r="B15" i="12" s="1"/>
  <c r="B16" i="12" s="1"/>
  <c r="B17" i="12" s="1"/>
  <c r="B18" i="12" s="1"/>
  <c r="B19" i="12" s="1"/>
  <c r="B20" i="12" s="1"/>
  <c r="A2" i="13"/>
  <c r="A3" i="13" s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2" i="12"/>
  <c r="A2" i="4" l="1"/>
  <c r="C12" i="6"/>
  <c r="C16" i="6" s="1"/>
  <c r="J9" i="8"/>
  <c r="K9" i="8" s="1"/>
  <c r="J7" i="8"/>
  <c r="K7" i="8" s="1"/>
  <c r="J10" i="8"/>
  <c r="K10" i="8" s="1"/>
  <c r="J11" i="8"/>
  <c r="K11" i="8" s="1"/>
  <c r="J8" i="8"/>
  <c r="K8" i="8" s="1"/>
  <c r="J3" i="8"/>
  <c r="K3" i="8" s="1"/>
  <c r="J6" i="8"/>
  <c r="K6" i="8" s="1"/>
  <c r="J4" i="8"/>
  <c r="K4" i="8" s="1"/>
  <c r="J5" i="8"/>
  <c r="K5" i="8" s="1"/>
  <c r="D6" i="7" l="1"/>
  <c r="C6" i="5"/>
  <c r="D24" i="7"/>
  <c r="C8" i="5"/>
  <c r="D8" i="5"/>
  <c r="C22" i="7"/>
  <c r="C16" i="7"/>
  <c r="D23" i="7"/>
  <c r="D14" i="7"/>
  <c r="D6" i="5"/>
  <c r="C6" i="7"/>
  <c r="C7" i="7"/>
  <c r="D16" i="7"/>
  <c r="C7" i="5"/>
  <c r="C24" i="7"/>
  <c r="C23" i="7"/>
  <c r="C14" i="7"/>
  <c r="D15" i="7"/>
  <c r="D7" i="5"/>
  <c r="D7" i="7"/>
  <c r="C8" i="7"/>
  <c r="D8" i="7"/>
  <c r="C15" i="7"/>
  <c r="D22" i="7"/>
  <c r="J2" i="8"/>
  <c r="K2" i="8" s="1"/>
  <c r="C5" i="8" l="1"/>
  <c r="C4" i="8"/>
  <c r="C3" i="8"/>
  <c r="C6" i="8"/>
  <c r="C7" i="8"/>
  <c r="C8" i="8"/>
  <c r="C9" i="8"/>
  <c r="C10" i="8"/>
  <c r="C22" i="4" l="1"/>
  <c r="C18" i="5" l="1"/>
  <c r="C14" i="5"/>
  <c r="C11" i="8"/>
  <c r="C2" i="8"/>
  <c r="D25" i="7"/>
  <c r="C25" i="7"/>
  <c r="D17" i="7"/>
  <c r="C17" i="7"/>
  <c r="D9" i="7"/>
  <c r="C9" i="7"/>
  <c r="A2" i="7" l="1"/>
  <c r="A2" i="5"/>
  <c r="C2" i="1"/>
  <c r="A2" i="2"/>
  <c r="C15" i="2" l="1"/>
  <c r="C14" i="2"/>
  <c r="D9" i="5"/>
  <c r="D10" i="5" s="1"/>
  <c r="C9" i="5"/>
  <c r="C10" i="5" s="1"/>
  <c r="C11" i="5" l="1"/>
  <c r="C19" i="5" s="1"/>
  <c r="W7" i="1" s="1"/>
  <c r="C10" i="7"/>
  <c r="C29" i="7" s="1"/>
  <c r="C26" i="7"/>
  <c r="C31" i="7" s="1"/>
  <c r="C18" i="7"/>
  <c r="C30" i="7" s="1"/>
  <c r="C20" i="5" l="1"/>
  <c r="V7" i="1" s="1"/>
  <c r="C33" i="7"/>
  <c r="V8" i="1" s="1"/>
  <c r="C32" i="7"/>
  <c r="W8" i="1" s="1"/>
  <c r="C23" i="4"/>
  <c r="C18" i="4"/>
  <c r="C13" i="4"/>
  <c r="C17" i="4"/>
  <c r="C12" i="4"/>
  <c r="C28" i="2"/>
  <c r="C19" i="2"/>
  <c r="C19" i="4" l="1"/>
  <c r="C14" i="4"/>
  <c r="C28" i="4"/>
  <c r="W6" i="1" s="1"/>
  <c r="C24" i="4"/>
  <c r="C27" i="4" l="1"/>
  <c r="V6" i="1" s="1"/>
  <c r="C10" i="2"/>
  <c r="C30" i="2" l="1"/>
  <c r="C31" i="2" s="1"/>
  <c r="C21" i="2"/>
  <c r="C22" i="2" s="1"/>
  <c r="C23" i="2" l="1"/>
  <c r="C24" i="2"/>
  <c r="C33" i="2"/>
  <c r="C32" i="2"/>
  <c r="C36" i="2" l="1"/>
  <c r="W5" i="1" s="1"/>
  <c r="C37" i="2"/>
  <c r="V5" i="1" s="1"/>
  <c r="V9" i="1" s="1"/>
  <c r="V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tc={6930C50A-75C7-48A8-AC5C-7314E116DB34}</author>
  </authors>
  <commentList>
    <comment ref="B4" authorId="0" shapeId="0" xr:uid="{6930C50A-75C7-48A8-AC5C-7314E116DB3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Min. 1 month of data; Matching data duration and characteristics (Days, Weekday/Weekend, etc.) required to compare Before and After.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tc={6542A708-87C1-4FBD-91E8-C3730554AA1F}</author>
  </authors>
  <commentList>
    <comment ref="B4" authorId="0" shapeId="0" xr:uid="{6542A708-87C1-4FBD-91E8-C3730554AA1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Min. 1 month of data; Matching data duration and characteristics (Days, Weekday/Weekend, etc.) required to compare Before and After.</t>
      </text>
    </comment>
  </commentList>
</comments>
</file>

<file path=xl/sharedStrings.xml><?xml version="1.0" encoding="utf-8"?>
<sst xmlns="http://schemas.openxmlformats.org/spreadsheetml/2006/main" count="283" uniqueCount="164">
  <si>
    <t>Category</t>
  </si>
  <si>
    <t>Performance Measure</t>
  </si>
  <si>
    <t>Unit of Measure</t>
  </si>
  <si>
    <t>Reference source for Value</t>
  </si>
  <si>
    <t>Delay</t>
  </si>
  <si>
    <t>Intersection Delay</t>
  </si>
  <si>
    <t>Person Hours (car)</t>
  </si>
  <si>
    <t>(1)</t>
  </si>
  <si>
    <t>Person Hours (truck)</t>
  </si>
  <si>
    <t>Safety</t>
  </si>
  <si>
    <t>Property Damage Only (PDO) Crash</t>
  </si>
  <si>
    <t>Number of crashes</t>
  </si>
  <si>
    <t>Fatality Crash</t>
  </si>
  <si>
    <t>Emissions</t>
  </si>
  <si>
    <t>Carbon Monoxide (CO)</t>
  </si>
  <si>
    <t>Metric ton</t>
  </si>
  <si>
    <t>(4)</t>
  </si>
  <si>
    <t>Nitrous Oxide (NOx)</t>
  </si>
  <si>
    <t>Volatile Organic Compounds (VOC)</t>
  </si>
  <si>
    <t xml:space="preserve">Energy </t>
  </si>
  <si>
    <t>Fuel</t>
  </si>
  <si>
    <t>Gallon</t>
  </si>
  <si>
    <t>Sources:</t>
  </si>
  <si>
    <t>Corridor:</t>
  </si>
  <si>
    <t>Peak Hour</t>
  </si>
  <si>
    <t>AM</t>
  </si>
  <si>
    <t>MID</t>
  </si>
  <si>
    <t>PM</t>
  </si>
  <si>
    <t>Delay after retiming (sec/veh)</t>
  </si>
  <si>
    <t>Delay before retiming
(sec/veh)</t>
  </si>
  <si>
    <t>Difference</t>
  </si>
  <si>
    <t>ADT</t>
  </si>
  <si>
    <t>Truck %</t>
  </si>
  <si>
    <t>Work Days per year</t>
  </si>
  <si>
    <t>Annual Delay Savings</t>
  </si>
  <si>
    <t>% of daily traffic during peak hours</t>
  </si>
  <si>
    <t>CRASH DATA</t>
  </si>
  <si>
    <t>Injury</t>
  </si>
  <si>
    <t>Crashes over past 3 years</t>
  </si>
  <si>
    <t>Fatal</t>
  </si>
  <si>
    <t>Property Damage Only</t>
  </si>
  <si>
    <t>Injury Crash</t>
  </si>
  <si>
    <t>Crash Reduction Factor</t>
  </si>
  <si>
    <t>Potentially eliminated crashes</t>
  </si>
  <si>
    <t>Reduction Cost</t>
  </si>
  <si>
    <t>Cost savings</t>
  </si>
  <si>
    <t>Human capital per crash</t>
  </si>
  <si>
    <r>
      <t xml:space="preserve">Difference </t>
    </r>
    <r>
      <rPr>
        <sz val="11"/>
        <color theme="1"/>
        <rFont val="Calibri"/>
        <family val="2"/>
        <scheme val="minor"/>
      </rPr>
      <t>(hours/veh)</t>
    </r>
  </si>
  <si>
    <t>Work Days Per Year</t>
  </si>
  <si>
    <t>FUEL CONSUMPTION</t>
  </si>
  <si>
    <t>Cost of Fuel (gal)</t>
  </si>
  <si>
    <t>Fuel Savings</t>
  </si>
  <si>
    <t>Before retiming
(kg)</t>
  </si>
  <si>
    <t>After retiming (kg)</t>
  </si>
  <si>
    <t>Nitrogen Oxides</t>
  </si>
  <si>
    <t>Volatile Organic Compounds</t>
  </si>
  <si>
    <t>Total Emissions Savings</t>
  </si>
  <si>
    <t>Date:</t>
  </si>
  <si>
    <t>District:</t>
  </si>
  <si>
    <t>DELAY</t>
  </si>
  <si>
    <t>SAFETY</t>
  </si>
  <si>
    <t>FUEL</t>
  </si>
  <si>
    <t>EMISSIONS</t>
  </si>
  <si>
    <t>TOTAL</t>
  </si>
  <si>
    <t>ANNUAL RETIMING SAVINGS</t>
  </si>
  <si>
    <t>Engineering Cost</t>
  </si>
  <si>
    <t>No. of Intersections</t>
  </si>
  <si>
    <t>BENEFIT:COST RATIO</t>
  </si>
  <si>
    <r>
      <t xml:space="preserve">CALCULATIONS
</t>
    </r>
    <r>
      <rPr>
        <sz val="11"/>
        <color theme="0"/>
        <rFont val="Calibri"/>
        <family val="2"/>
        <scheme val="minor"/>
      </rPr>
      <t>(Passenger Vehicle)</t>
    </r>
  </si>
  <si>
    <r>
      <t xml:space="preserve">CALCULATIONS
</t>
    </r>
    <r>
      <rPr>
        <sz val="11"/>
        <color theme="0"/>
        <rFont val="Calibri"/>
        <family val="2"/>
        <scheme val="minor"/>
      </rPr>
      <t>(Trucks)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</si>
  <si>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Property Damage Only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</si>
  <si>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Injury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</si>
  <si>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Fatal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</si>
  <si>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Totals</t>
    </r>
  </si>
  <si>
    <t>Safety Analysis</t>
  </si>
  <si>
    <t>Fuel Analysis</t>
  </si>
  <si>
    <t>Emissions Analysis</t>
  </si>
  <si>
    <t>Roadway Type</t>
  </si>
  <si>
    <t xml:space="preserve">               Peak hours taken as 7:00 AM to 7:00 PM.</t>
  </si>
  <si>
    <t>Rural Principal Arterial</t>
  </si>
  <si>
    <t>Rural Local</t>
  </si>
  <si>
    <t>Rural Major Collector</t>
  </si>
  <si>
    <t>Rural Minor Arterial</t>
  </si>
  <si>
    <t>Rural Minor Collector</t>
  </si>
  <si>
    <t>Urban Collector</t>
  </si>
  <si>
    <t>Urban Freeway</t>
  </si>
  <si>
    <t>Urban Local</t>
  </si>
  <si>
    <t>Urban Minor Arterial</t>
  </si>
  <si>
    <t>Urban Principal Arterial</t>
  </si>
  <si>
    <t>Before retiming
(g)</t>
  </si>
  <si>
    <t>Totals (kg)</t>
  </si>
  <si>
    <t>After retiming 
(g)</t>
  </si>
  <si>
    <t>Total (kg)</t>
  </si>
  <si>
    <t>% Traffic During Peak Hour</t>
  </si>
  <si>
    <t>% of traffic during non-peak 3 hours to peak 3 hours</t>
  </si>
  <si>
    <t>Total (gallons)</t>
  </si>
  <si>
    <t>Annual Delay Savings (hours)</t>
  </si>
  <si>
    <t>Fuel Savings (gal)</t>
  </si>
  <si>
    <t>ESTIMATED ANNUAL BENEFIT</t>
  </si>
  <si>
    <t>ESTIMATED ANNUAL SAVINGS</t>
  </si>
  <si>
    <t>Carbon Monoxide</t>
  </si>
  <si>
    <t>Estimated Benefit (metric tons)</t>
  </si>
  <si>
    <t>Total Emissions Savings (kg)</t>
  </si>
  <si>
    <r>
      <rPr>
        <b/>
        <sz val="18"/>
        <color theme="1"/>
        <rFont val="Cambria"/>
        <family val="1"/>
      </rPr>
      <t>Evaluation of Signal Retiming</t>
    </r>
    <r>
      <rPr>
        <b/>
        <sz val="14"/>
        <color theme="1"/>
        <rFont val="Cambria"/>
        <family val="1"/>
      </rPr>
      <t xml:space="preserve">
General Corridor Information</t>
    </r>
  </si>
  <si>
    <r>
      <t xml:space="preserve">Emissions Analysis
</t>
    </r>
    <r>
      <rPr>
        <sz val="11"/>
        <color theme="0"/>
        <rFont val="Calibri"/>
        <family val="2"/>
        <scheme val="minor"/>
      </rPr>
      <t>Carbon Monoxide</t>
    </r>
  </si>
  <si>
    <r>
      <t xml:space="preserve">Emissions Analysis
</t>
    </r>
    <r>
      <rPr>
        <sz val="11"/>
        <color theme="0"/>
        <rFont val="Calibri"/>
        <family val="2"/>
        <scheme val="minor"/>
      </rPr>
      <t>Nitrogen Oxides</t>
    </r>
  </si>
  <si>
    <r>
      <t xml:space="preserve">Emissions Analysis
</t>
    </r>
    <r>
      <rPr>
        <sz val="11"/>
        <color theme="0"/>
        <rFont val="Calibri"/>
        <family val="2"/>
        <scheme val="minor"/>
      </rPr>
      <t>Volatile Organic Compounds</t>
    </r>
  </si>
  <si>
    <t>Estimated Annual Signal Retiming Benefits</t>
  </si>
  <si>
    <t>Need to hide this sheet. Also, need to lock all other sheets and checkbox to Hide rows and columns under Page Layout--&gt;Headings--&gt;View</t>
  </si>
  <si>
    <t>(Urban Major Collector)</t>
  </si>
  <si>
    <t>column not used</t>
  </si>
  <si>
    <r>
      <t xml:space="preserve">Notes:  Percentage of vehicles during peak hour via functional classification taken from </t>
    </r>
    <r>
      <rPr>
        <i/>
        <sz val="9"/>
        <color theme="1"/>
        <rFont val="Calibri"/>
        <family val="2"/>
        <scheme val="minor"/>
      </rPr>
      <t>Hourly Percent by Vehicle Type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2016 Report</t>
    </r>
    <r>
      <rPr>
        <sz val="9"/>
        <color theme="1"/>
        <rFont val="Calibri"/>
        <family val="2"/>
        <scheme val="minor"/>
      </rPr>
      <t xml:space="preserve"> by ODOT Office of Technical Services. </t>
    </r>
  </si>
  <si>
    <t>CORRIDOR INFORMATION</t>
  </si>
  <si>
    <t>Vehicle Occupancy</t>
  </si>
  <si>
    <t>After</t>
  </si>
  <si>
    <t>INRIX Link:</t>
  </si>
  <si>
    <t>AM Peak Start:</t>
  </si>
  <si>
    <t>Midday Peak Start:</t>
  </si>
  <si>
    <t>PM Peak Start:</t>
  </si>
  <si>
    <t>Time</t>
  </si>
  <si>
    <t>Travel Time</t>
  </si>
  <si>
    <t xml:space="preserve">Before </t>
  </si>
  <si>
    <t>**Enter times below in hh:mm:ss format**</t>
  </si>
  <si>
    <t>Average Travel Times (hh:mm:ss)</t>
  </si>
  <si>
    <t>Travel Time Analysis</t>
  </si>
  <si>
    <t>TRAVEL TIME INFORMATION</t>
  </si>
  <si>
    <r>
      <t xml:space="preserve">Average Travel Time </t>
    </r>
    <r>
      <rPr>
        <sz val="11"/>
        <color theme="1"/>
        <rFont val="Calibri"/>
        <family val="2"/>
        <scheme val="minor"/>
      </rPr>
      <t>(sec/veh)</t>
    </r>
  </si>
  <si>
    <t>Cost per person hour</t>
  </si>
  <si>
    <t>Daily person hour Travel Time reduction</t>
  </si>
  <si>
    <t>Travel Time reduction per day</t>
  </si>
  <si>
    <t>INRIX Data - Speed</t>
  </si>
  <si>
    <t>Average Speed (mph)</t>
  </si>
  <si>
    <t>Average Speeds (mph)</t>
  </si>
  <si>
    <t>INRIX Data - Travel Time</t>
  </si>
  <si>
    <t>Corridor Length (mi.)</t>
  </si>
  <si>
    <t>Peak Hour VMT</t>
  </si>
  <si>
    <t>OFF</t>
  </si>
  <si>
    <t>WKND</t>
  </si>
  <si>
    <t>WKND OFF</t>
  </si>
  <si>
    <t>OFF Peak Start</t>
  </si>
  <si>
    <t>WKND Peak Start</t>
  </si>
  <si>
    <t>WKND OFF Peak Start</t>
  </si>
  <si>
    <t>The below will not be used in calculations, but should be completed when these timings plans are created</t>
  </si>
  <si>
    <t>Before Date Range:</t>
  </si>
  <si>
    <t xml:space="preserve">After Date Range: </t>
  </si>
  <si>
    <r>
      <t xml:space="preserve">     </t>
    </r>
    <r>
      <rPr>
        <u/>
        <sz val="9"/>
        <color rgb="FF0070C0"/>
        <rFont val="Calibri"/>
        <family val="2"/>
        <scheme val="minor"/>
      </rPr>
      <t xml:space="preserve"> Employment Cost Index</t>
    </r>
  </si>
  <si>
    <r>
      <t xml:space="preserve">(4) </t>
    </r>
    <r>
      <rPr>
        <u/>
        <sz val="9"/>
        <color rgb="FF0070C0"/>
        <rFont val="Calibri"/>
        <family val="2"/>
        <scheme val="minor"/>
      </rPr>
      <t>Energy Information Administration Web site</t>
    </r>
    <r>
      <rPr>
        <sz val="9"/>
        <color theme="1"/>
        <rFont val="Calibri"/>
        <family val="2"/>
        <scheme val="minor"/>
      </rPr>
      <t>,</t>
    </r>
  </si>
  <si>
    <t>(5) Final Report - Signal Timing Optimization with Consideration of Environmental and Safety Impacts, Part A, Southeastern Transportation Research, Innovation, Development, and Education Center (STRIDE), 2017</t>
  </si>
  <si>
    <t>(2)</t>
  </si>
  <si>
    <t>(3)</t>
  </si>
  <si>
    <t xml:space="preserve">      Table E-5 - "Air Pollutant Damage Costs and Adjustment Factors Used in HERS."  </t>
  </si>
  <si>
    <r>
      <t xml:space="preserve">Route Description
</t>
    </r>
    <r>
      <rPr>
        <sz val="11"/>
        <color theme="1"/>
        <rFont val="Calibri"/>
        <family val="2"/>
        <scheme val="minor"/>
      </rPr>
      <t>(Add all movement evaluations, esp. Off-Ramps)</t>
    </r>
  </si>
  <si>
    <t>[insert link]</t>
  </si>
  <si>
    <r>
      <t xml:space="preserve">(3) </t>
    </r>
    <r>
      <rPr>
        <i/>
        <u/>
        <sz val="9"/>
        <color rgb="FF0070C0"/>
        <rFont val="Calibri"/>
        <family val="2"/>
        <scheme val="minor"/>
      </rPr>
      <t>Highway Economic Requirements System-State Version Technical Report</t>
    </r>
    <r>
      <rPr>
        <i/>
        <sz val="9"/>
        <color theme="1"/>
        <rFont val="Calibri"/>
        <family val="2"/>
        <scheme val="minor"/>
      </rPr>
      <t xml:space="preserve">, </t>
    </r>
    <r>
      <rPr>
        <sz val="9"/>
        <color theme="1"/>
        <rFont val="Calibri"/>
        <family val="2"/>
        <scheme val="minor"/>
      </rPr>
      <t>U.S. Department of Transportation/Federal Highway Administration, 2005.</t>
    </r>
  </si>
  <si>
    <t>[i.e.--SR-XX NB or SR-XX EB Ramp &amp; NB through]</t>
  </si>
  <si>
    <t>[i.e.--SR-XX SB or SR-XX WB Ramp &amp; WB through]</t>
  </si>
  <si>
    <t>[i.e.--01/01/2019-03/06/2019]</t>
  </si>
  <si>
    <t>Value per Unit Measure
(2022 dollars)</t>
  </si>
  <si>
    <r>
      <t xml:space="preserve">      If year data is available then no need to adjust. If not: (example) Costs are derived from the Bureau of Labor Statistics. Convert Values from Sept. 2019 to Sept. 2020 </t>
    </r>
    <r>
      <rPr>
        <u/>
        <sz val="9"/>
        <color rgb="FF0070C0"/>
        <rFont val="Calibri"/>
        <family val="2"/>
        <scheme val="minor"/>
      </rPr>
      <t>Consumer Price Index</t>
    </r>
    <r>
      <rPr>
        <sz val="9"/>
        <color theme="1"/>
        <rFont val="Calibri"/>
        <family val="2"/>
        <scheme val="minor"/>
      </rPr>
      <t xml:space="preserve"> of 1.01.   Example: $1,818,576 X 1.01 = $1,836,761.76.  For 2022, data was available so no need to adjust.</t>
    </r>
  </si>
  <si>
    <r>
      <t xml:space="preserve">(2) </t>
    </r>
    <r>
      <rPr>
        <i/>
        <sz val="9"/>
        <color theme="1"/>
        <rFont val="Calibri"/>
        <family val="2"/>
        <scheme val="minor"/>
      </rPr>
      <t xml:space="preserve">2024 Crash Costs Update </t>
    </r>
    <r>
      <rPr>
        <sz val="9"/>
        <color theme="1"/>
        <rFont val="Calibri"/>
        <family val="2"/>
        <scheme val="minor"/>
      </rPr>
      <t>by ODOT Office of Systems Planning and Program Management; 2024 data. O:\SAFETY\CEN\HSP - Highway Safety Program\HSP 2024</t>
    </r>
  </si>
  <si>
    <t>Reference Sheet - 2023</t>
  </si>
  <si>
    <r>
      <t>(1)</t>
    </r>
    <r>
      <rPr>
        <u/>
        <sz val="9"/>
        <color rgb="FF0070C0"/>
        <rFont val="Calibri"/>
        <family val="2"/>
        <scheme val="minor"/>
      </rPr>
      <t xml:space="preserve"> </t>
    </r>
    <r>
      <rPr>
        <i/>
        <u/>
        <sz val="9"/>
        <color rgb="FF0070C0"/>
        <rFont val="Calibri"/>
        <family val="2"/>
        <scheme val="minor"/>
      </rPr>
      <t>2023 Urban Mobility Report</t>
    </r>
    <r>
      <rPr>
        <sz val="9"/>
        <color theme="1"/>
        <rFont val="Calibri"/>
        <family val="2"/>
        <scheme val="minor"/>
      </rPr>
      <t>, Texas A&amp;M Transportation Institute, 2021. Appendix A, Exhibit A-10 - "National Congestion Constants for 2021 Urban Mobility Report"</t>
    </r>
  </si>
  <si>
    <t xml:space="preserve">      Costs converted from May 2002 to May 2024 by Consumer Price Index of 1.75</t>
  </si>
  <si>
    <t xml:space="preserve">  Data for Ohio 2023 yearly avg, Gasoline - All 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</si>
</sst>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"/>
    <numFmt numFmtId="165" formatCode="&quot;$&quot;#,##0.00"/>
    <numFmt numFmtId="166" formatCode="0.0000E+00"/>
    <numFmt numFmtId="167" formatCode="0.0"/>
    <numFmt numFmtId="168" formatCode="&quot;$&quot;#,##0"/>
    <numFmt numFmtId="169" formatCode="_(&quot;$&quot;* #,##0_);_(&quot;$&quot;* \(#,##0\);_(&quot;$&quot;* &quot;-&quot;??_);_(@_)"/>
    <numFmt numFmtId="170" formatCode="0.0%"/>
    <numFmt numFmtId="171" formatCode="h:mm;@"/>
    <numFmt numFmtId="172" formatCode="mm:ss.0;@"/>
    <numFmt numFmtId="173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mbria"/>
      <family val="1"/>
    </font>
    <font>
      <b/>
      <sz val="18"/>
      <color theme="0"/>
      <name val="Cambria"/>
      <family val="1"/>
    </font>
    <font>
      <sz val="9"/>
      <color theme="0"/>
      <name val="Calibri"/>
      <family val="2"/>
      <scheme val="minor"/>
    </font>
    <font>
      <u/>
      <sz val="9"/>
      <color rgb="FF0070C0"/>
      <name val="Calibri"/>
      <family val="2"/>
      <scheme val="minor"/>
    </font>
    <font>
      <i/>
      <u/>
      <sz val="9"/>
      <color rgb="FF0070C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4">
    <xf numFmtId="0" fontId="0" fillId="0" borderId="0" xfId="0"/>
    <xf numFmtId="0" fontId="4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 indent="1"/>
    </xf>
    <xf numFmtId="2" fontId="0" fillId="0" borderId="9" xfId="0" applyNumberForma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0" fillId="0" borderId="9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 indent="1"/>
    </xf>
    <xf numFmtId="2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 indent="1"/>
    </xf>
    <xf numFmtId="0" fontId="2" fillId="0" borderId="8" xfId="0" applyFont="1" applyBorder="1" applyAlignment="1">
      <alignment horizontal="right" indent="1"/>
    </xf>
    <xf numFmtId="0" fontId="2" fillId="0" borderId="35" xfId="0" applyFont="1" applyBorder="1" applyAlignment="1">
      <alignment horizontal="right" vertical="center" wrapText="1" indent="1"/>
    </xf>
    <xf numFmtId="0" fontId="2" fillId="0" borderId="8" xfId="0" applyFont="1" applyBorder="1" applyAlignment="1">
      <alignment horizontal="right" vertical="center" wrapText="1" indent="1"/>
    </xf>
    <xf numFmtId="0" fontId="2" fillId="0" borderId="10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6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4" fontId="7" fillId="0" borderId="0" xfId="0" applyNumberFormat="1" applyFont="1" applyProtection="1">
      <protection locked="0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2" fillId="0" borderId="35" xfId="0" applyFont="1" applyBorder="1" applyAlignment="1">
      <alignment horizontal="right" indent="1"/>
    </xf>
    <xf numFmtId="14" fontId="0" fillId="0" borderId="0" xfId="0" applyNumberFormat="1" applyProtection="1">
      <protection locked="0"/>
    </xf>
    <xf numFmtId="9" fontId="0" fillId="0" borderId="0" xfId="3" applyFont="1"/>
    <xf numFmtId="9" fontId="0" fillId="0" borderId="32" xfId="0" applyNumberFormat="1" applyBorder="1" applyAlignment="1">
      <alignment horizontal="center" vertical="center"/>
    </xf>
    <xf numFmtId="166" fontId="0" fillId="0" borderId="0" xfId="0" applyNumberFormat="1"/>
    <xf numFmtId="168" fontId="0" fillId="0" borderId="7" xfId="0" applyNumberFormat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168" fontId="2" fillId="0" borderId="3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2" fillId="0" borderId="36" xfId="0" applyFont="1" applyBorder="1" applyAlignment="1">
      <alignment horizontal="center"/>
    </xf>
    <xf numFmtId="169" fontId="0" fillId="0" borderId="9" xfId="0" applyNumberFormat="1" applyBorder="1" applyAlignment="1">
      <alignment horizontal="left"/>
    </xf>
    <xf numFmtId="170" fontId="0" fillId="0" borderId="9" xfId="0" applyNumberFormat="1" applyBorder="1" applyAlignment="1">
      <alignment horizontal="center" vertical="center"/>
    </xf>
    <xf numFmtId="0" fontId="10" fillId="0" borderId="0" xfId="0" applyFont="1" applyAlignment="1">
      <alignment horizontal="left" indent="12"/>
    </xf>
    <xf numFmtId="0" fontId="6" fillId="0" borderId="0" xfId="0" applyFont="1" applyAlignment="1">
      <alignment horizontal="left" indent="12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 indent="1"/>
      <protection locked="0"/>
    </xf>
    <xf numFmtId="170" fontId="0" fillId="3" borderId="9" xfId="0" applyNumberFormat="1" applyFill="1" applyBorder="1" applyAlignment="1" applyProtection="1">
      <alignment horizontal="center" vertical="center"/>
      <protection locked="0"/>
    </xf>
    <xf numFmtId="10" fontId="0" fillId="3" borderId="32" xfId="0" applyNumberForma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5" borderId="0" xfId="0" applyFill="1"/>
    <xf numFmtId="1" fontId="0" fillId="0" borderId="0" xfId="0" applyNumberFormat="1"/>
    <xf numFmtId="171" fontId="0" fillId="0" borderId="0" xfId="0" applyNumberFormat="1"/>
    <xf numFmtId="0" fontId="0" fillId="9" borderId="5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20" fontId="2" fillId="11" borderId="20" xfId="0" applyNumberFormat="1" applyFont="1" applyFill="1" applyBorder="1"/>
    <xf numFmtId="20" fontId="2" fillId="9" borderId="19" xfId="0" applyNumberFormat="1" applyFont="1" applyFill="1" applyBorder="1"/>
    <xf numFmtId="20" fontId="2" fillId="9" borderId="20" xfId="0" applyNumberFormat="1" applyFont="1" applyFill="1" applyBorder="1"/>
    <xf numFmtId="20" fontId="2" fillId="9" borderId="21" xfId="0" applyNumberFormat="1" applyFont="1" applyFill="1" applyBorder="1"/>
    <xf numFmtId="20" fontId="2" fillId="11" borderId="19" xfId="0" applyNumberFormat="1" applyFont="1" applyFill="1" applyBorder="1"/>
    <xf numFmtId="20" fontId="2" fillId="11" borderId="21" xfId="0" applyNumberFormat="1" applyFont="1" applyFill="1" applyBorder="1"/>
    <xf numFmtId="20" fontId="2" fillId="13" borderId="19" xfId="0" applyNumberFormat="1" applyFont="1" applyFill="1" applyBorder="1"/>
    <xf numFmtId="20" fontId="2" fillId="13" borderId="20" xfId="0" applyNumberFormat="1" applyFont="1" applyFill="1" applyBorder="1"/>
    <xf numFmtId="20" fontId="2" fillId="13" borderId="21" xfId="0" applyNumberFormat="1" applyFont="1" applyFill="1" applyBorder="1"/>
    <xf numFmtId="21" fontId="0" fillId="9" borderId="12" xfId="0" applyNumberFormat="1" applyFill="1" applyBorder="1" applyAlignment="1" applyProtection="1">
      <alignment horizontal="center"/>
      <protection locked="0"/>
    </xf>
    <xf numFmtId="21" fontId="0" fillId="9" borderId="8" xfId="0" applyNumberFormat="1" applyFill="1" applyBorder="1" applyAlignment="1" applyProtection="1">
      <alignment horizontal="center"/>
      <protection locked="0"/>
    </xf>
    <xf numFmtId="0" fontId="0" fillId="11" borderId="5" xfId="0" applyFill="1" applyBorder="1" applyAlignment="1" applyProtection="1">
      <alignment horizontal="center"/>
      <protection locked="0"/>
    </xf>
    <xf numFmtId="21" fontId="0" fillId="11" borderId="12" xfId="0" applyNumberFormat="1" applyFill="1" applyBorder="1" applyAlignment="1" applyProtection="1">
      <alignment horizontal="center"/>
      <protection locked="0"/>
    </xf>
    <xf numFmtId="21" fontId="0" fillId="11" borderId="8" xfId="0" applyNumberFormat="1" applyFill="1" applyBorder="1" applyAlignment="1" applyProtection="1">
      <alignment horizontal="center"/>
      <protection locked="0"/>
    </xf>
    <xf numFmtId="21" fontId="0" fillId="13" borderId="12" xfId="0" applyNumberFormat="1" applyFill="1" applyBorder="1" applyAlignment="1" applyProtection="1">
      <alignment horizontal="center"/>
      <protection locked="0"/>
    </xf>
    <xf numFmtId="21" fontId="0" fillId="13" borderId="8" xfId="0" applyNumberFormat="1" applyFill="1" applyBorder="1" applyAlignment="1" applyProtection="1">
      <alignment horizontal="center"/>
      <protection locked="0"/>
    </xf>
    <xf numFmtId="0" fontId="0" fillId="14" borderId="5" xfId="0" applyFill="1" applyBorder="1" applyAlignment="1">
      <alignment horizontal="center"/>
    </xf>
    <xf numFmtId="20" fontId="2" fillId="14" borderId="19" xfId="0" applyNumberFormat="1" applyFont="1" applyFill="1" applyBorder="1"/>
    <xf numFmtId="20" fontId="2" fillId="14" borderId="20" xfId="0" applyNumberFormat="1" applyFont="1" applyFill="1" applyBorder="1"/>
    <xf numFmtId="21" fontId="0" fillId="14" borderId="8" xfId="0" applyNumberFormat="1" applyFill="1" applyBorder="1" applyAlignment="1" applyProtection="1">
      <alignment horizontal="center"/>
      <protection locked="0"/>
    </xf>
    <xf numFmtId="20" fontId="2" fillId="14" borderId="21" xfId="0" applyNumberFormat="1" applyFont="1" applyFill="1" applyBorder="1"/>
    <xf numFmtId="0" fontId="0" fillId="17" borderId="5" xfId="0" applyFill="1" applyBorder="1" applyAlignment="1" applyProtection="1">
      <alignment horizontal="center"/>
      <protection locked="0"/>
    </xf>
    <xf numFmtId="20" fontId="2" fillId="17" borderId="19" xfId="0" applyNumberFormat="1" applyFont="1" applyFill="1" applyBorder="1"/>
    <xf numFmtId="20" fontId="2" fillId="17" borderId="20" xfId="0" applyNumberFormat="1" applyFont="1" applyFill="1" applyBorder="1"/>
    <xf numFmtId="21" fontId="0" fillId="17" borderId="8" xfId="0" applyNumberFormat="1" applyFill="1" applyBorder="1" applyAlignment="1" applyProtection="1">
      <alignment horizontal="center"/>
      <protection locked="0"/>
    </xf>
    <xf numFmtId="20" fontId="2" fillId="17" borderId="21" xfId="0" applyNumberFormat="1" applyFont="1" applyFill="1" applyBorder="1"/>
    <xf numFmtId="0" fontId="0" fillId="19" borderId="5" xfId="0" applyFill="1" applyBorder="1" applyAlignment="1">
      <alignment horizontal="center"/>
    </xf>
    <xf numFmtId="20" fontId="2" fillId="19" borderId="19" xfId="0" applyNumberFormat="1" applyFont="1" applyFill="1" applyBorder="1"/>
    <xf numFmtId="20" fontId="2" fillId="19" borderId="20" xfId="0" applyNumberFormat="1" applyFont="1" applyFill="1" applyBorder="1"/>
    <xf numFmtId="21" fontId="0" fillId="19" borderId="8" xfId="0" applyNumberFormat="1" applyFill="1" applyBorder="1" applyAlignment="1" applyProtection="1">
      <alignment horizontal="center"/>
      <protection locked="0"/>
    </xf>
    <xf numFmtId="20" fontId="2" fillId="19" borderId="21" xfId="0" applyNumberFormat="1" applyFont="1" applyFill="1" applyBorder="1"/>
    <xf numFmtId="0" fontId="0" fillId="12" borderId="0" xfId="0" applyFill="1"/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44" fontId="4" fillId="0" borderId="0" xfId="1" applyFont="1" applyProtection="1">
      <protection locked="0"/>
    </xf>
    <xf numFmtId="0" fontId="0" fillId="0" borderId="0" xfId="0" applyProtection="1">
      <protection locked="0"/>
    </xf>
    <xf numFmtId="0" fontId="2" fillId="0" borderId="30" xfId="0" applyFon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0" fillId="0" borderId="11" xfId="0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2" fillId="0" borderId="38" xfId="0" applyFont="1" applyBorder="1" applyAlignment="1">
      <alignment horizontal="left" indent="1"/>
    </xf>
    <xf numFmtId="3" fontId="2" fillId="0" borderId="39" xfId="0" applyNumberFormat="1" applyFont="1" applyBorder="1" applyAlignment="1">
      <alignment horizontal="center"/>
    </xf>
    <xf numFmtId="6" fontId="2" fillId="0" borderId="11" xfId="0" applyNumberFormat="1" applyFont="1" applyBorder="1" applyAlignment="1">
      <alignment horizontal="center" vertical="center"/>
    </xf>
    <xf numFmtId="44" fontId="0" fillId="0" borderId="0" xfId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49" xfId="0" applyNumberFormat="1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6" borderId="5" xfId="0" applyFill="1" applyBorder="1" applyProtection="1">
      <protection locked="0"/>
    </xf>
    <xf numFmtId="21" fontId="0" fillId="9" borderId="50" xfId="0" applyNumberFormat="1" applyFill="1" applyBorder="1" applyAlignment="1" applyProtection="1">
      <alignment horizontal="center"/>
      <protection locked="0"/>
    </xf>
    <xf numFmtId="21" fontId="0" fillId="9" borderId="51" xfId="0" applyNumberFormat="1" applyFill="1" applyBorder="1" applyAlignment="1" applyProtection="1">
      <alignment horizontal="center"/>
      <protection locked="0"/>
    </xf>
    <xf numFmtId="21" fontId="0" fillId="9" borderId="19" xfId="0" applyNumberFormat="1" applyFill="1" applyBorder="1" applyAlignment="1" applyProtection="1">
      <alignment horizontal="center"/>
      <protection locked="0"/>
    </xf>
    <xf numFmtId="21" fontId="0" fillId="9" borderId="20" xfId="0" applyNumberFormat="1" applyFill="1" applyBorder="1" applyAlignment="1" applyProtection="1">
      <alignment horizontal="center"/>
      <protection locked="0"/>
    </xf>
    <xf numFmtId="20" fontId="2" fillId="9" borderId="30" xfId="0" applyNumberFormat="1" applyFont="1" applyFill="1" applyBorder="1"/>
    <xf numFmtId="21" fontId="0" fillId="9" borderId="52" xfId="0" applyNumberFormat="1" applyFill="1" applyBorder="1" applyAlignment="1" applyProtection="1">
      <alignment horizontal="center"/>
      <protection locked="0"/>
    </xf>
    <xf numFmtId="21" fontId="0" fillId="9" borderId="30" xfId="0" applyNumberFormat="1" applyFill="1" applyBorder="1" applyAlignment="1" applyProtection="1">
      <alignment horizontal="center"/>
      <protection locked="0"/>
    </xf>
    <xf numFmtId="20" fontId="2" fillId="11" borderId="30" xfId="0" applyNumberFormat="1" applyFont="1" applyFill="1" applyBorder="1"/>
    <xf numFmtId="20" fontId="2" fillId="13" borderId="30" xfId="0" applyNumberFormat="1" applyFont="1" applyFill="1" applyBorder="1"/>
    <xf numFmtId="20" fontId="2" fillId="14" borderId="30" xfId="0" applyNumberFormat="1" applyFont="1" applyFill="1" applyBorder="1"/>
    <xf numFmtId="21" fontId="0" fillId="14" borderId="35" xfId="0" applyNumberFormat="1" applyFill="1" applyBorder="1" applyAlignment="1" applyProtection="1">
      <alignment horizontal="center"/>
      <protection locked="0"/>
    </xf>
    <xf numFmtId="20" fontId="2" fillId="17" borderId="30" xfId="0" applyNumberFormat="1" applyFont="1" applyFill="1" applyBorder="1"/>
    <xf numFmtId="20" fontId="2" fillId="19" borderId="30" xfId="0" applyNumberFormat="1" applyFont="1" applyFill="1" applyBorder="1"/>
    <xf numFmtId="21" fontId="0" fillId="19" borderId="35" xfId="0" applyNumberFormat="1" applyFill="1" applyBorder="1" applyAlignment="1" applyProtection="1">
      <alignment horizontal="center"/>
      <protection locked="0"/>
    </xf>
    <xf numFmtId="20" fontId="2" fillId="9" borderId="53" xfId="0" applyNumberFormat="1" applyFont="1" applyFill="1" applyBorder="1"/>
    <xf numFmtId="20" fontId="2" fillId="11" borderId="53" xfId="0" applyNumberFormat="1" applyFont="1" applyFill="1" applyBorder="1"/>
    <xf numFmtId="20" fontId="2" fillId="13" borderId="53" xfId="0" applyNumberFormat="1" applyFont="1" applyFill="1" applyBorder="1"/>
    <xf numFmtId="20" fontId="2" fillId="14" borderId="53" xfId="0" applyNumberFormat="1" applyFont="1" applyFill="1" applyBorder="1"/>
    <xf numFmtId="20" fontId="2" fillId="17" borderId="53" xfId="0" applyNumberFormat="1" applyFont="1" applyFill="1" applyBorder="1"/>
    <xf numFmtId="20" fontId="2" fillId="19" borderId="53" xfId="0" applyNumberFormat="1" applyFont="1" applyFill="1" applyBorder="1"/>
    <xf numFmtId="0" fontId="0" fillId="6" borderId="22" xfId="0" applyFill="1" applyBorder="1" applyAlignment="1" applyProtection="1">
      <alignment horizontal="center" vertical="center" wrapText="1"/>
      <protection locked="0"/>
    </xf>
    <xf numFmtId="20" fontId="0" fillId="6" borderId="5" xfId="0" applyNumberFormat="1" applyFill="1" applyBorder="1" applyProtection="1">
      <protection locked="0"/>
    </xf>
    <xf numFmtId="0" fontId="0" fillId="6" borderId="24" xfId="0" applyFill="1" applyBorder="1" applyProtection="1">
      <protection locked="0"/>
    </xf>
    <xf numFmtId="0" fontId="0" fillId="6" borderId="23" xfId="0" applyFill="1" applyBorder="1" applyProtection="1">
      <protection locked="0"/>
    </xf>
    <xf numFmtId="21" fontId="0" fillId="11" borderId="50" xfId="0" applyNumberFormat="1" applyFill="1" applyBorder="1" applyAlignment="1" applyProtection="1">
      <alignment horizontal="center"/>
      <protection locked="0"/>
    </xf>
    <xf numFmtId="21" fontId="0" fillId="11" borderId="51" xfId="0" applyNumberFormat="1" applyFill="1" applyBorder="1" applyAlignment="1" applyProtection="1">
      <alignment horizontal="center"/>
      <protection locked="0"/>
    </xf>
    <xf numFmtId="21" fontId="0" fillId="11" borderId="52" xfId="0" applyNumberFormat="1" applyFill="1" applyBorder="1" applyAlignment="1" applyProtection="1">
      <alignment horizontal="center"/>
      <protection locked="0"/>
    </xf>
    <xf numFmtId="21" fontId="0" fillId="11" borderId="19" xfId="0" applyNumberFormat="1" applyFill="1" applyBorder="1" applyAlignment="1" applyProtection="1">
      <alignment horizontal="center"/>
      <protection locked="0"/>
    </xf>
    <xf numFmtId="21" fontId="0" fillId="11" borderId="20" xfId="0" applyNumberFormat="1" applyFill="1" applyBorder="1" applyAlignment="1" applyProtection="1">
      <alignment horizontal="center"/>
      <protection locked="0"/>
    </xf>
    <xf numFmtId="21" fontId="0" fillId="11" borderId="21" xfId="0" applyNumberFormat="1" applyFill="1" applyBorder="1" applyAlignment="1" applyProtection="1">
      <alignment horizontal="center"/>
      <protection locked="0"/>
    </xf>
    <xf numFmtId="21" fontId="0" fillId="13" borderId="50" xfId="0" applyNumberFormat="1" applyFill="1" applyBorder="1" applyAlignment="1" applyProtection="1">
      <alignment horizontal="center"/>
      <protection locked="0"/>
    </xf>
    <xf numFmtId="21" fontId="0" fillId="13" borderId="51" xfId="0" applyNumberFormat="1" applyFill="1" applyBorder="1" applyAlignment="1" applyProtection="1">
      <alignment horizontal="center"/>
      <protection locked="0"/>
    </xf>
    <xf numFmtId="21" fontId="0" fillId="13" borderId="52" xfId="0" applyNumberFormat="1" applyFill="1" applyBorder="1" applyAlignment="1" applyProtection="1">
      <alignment horizontal="center"/>
      <protection locked="0"/>
    </xf>
    <xf numFmtId="21" fontId="0" fillId="13" borderId="19" xfId="0" applyNumberFormat="1" applyFill="1" applyBorder="1" applyAlignment="1" applyProtection="1">
      <alignment horizontal="center"/>
      <protection locked="0"/>
    </xf>
    <xf numFmtId="21" fontId="0" fillId="13" borderId="20" xfId="0" applyNumberFormat="1" applyFill="1" applyBorder="1" applyAlignment="1" applyProtection="1">
      <alignment horizontal="center"/>
      <protection locked="0"/>
    </xf>
    <xf numFmtId="21" fontId="0" fillId="13" borderId="21" xfId="0" applyNumberFormat="1" applyFill="1" applyBorder="1" applyAlignment="1" applyProtection="1">
      <alignment horizontal="center"/>
      <protection locked="0"/>
    </xf>
    <xf numFmtId="21" fontId="0" fillId="14" borderId="50" xfId="0" applyNumberFormat="1" applyFill="1" applyBorder="1" applyAlignment="1" applyProtection="1">
      <alignment horizontal="center"/>
      <protection locked="0"/>
    </xf>
    <xf numFmtId="21" fontId="0" fillId="14" borderId="51" xfId="0" applyNumberFormat="1" applyFill="1" applyBorder="1" applyAlignment="1" applyProtection="1">
      <alignment horizontal="center"/>
      <protection locked="0"/>
    </xf>
    <xf numFmtId="21" fontId="0" fillId="14" borderId="52" xfId="0" applyNumberFormat="1" applyFill="1" applyBorder="1" applyAlignment="1" applyProtection="1">
      <alignment horizontal="center"/>
      <protection locked="0"/>
    </xf>
    <xf numFmtId="21" fontId="0" fillId="19" borderId="50" xfId="0" applyNumberFormat="1" applyFill="1" applyBorder="1" applyAlignment="1" applyProtection="1">
      <alignment horizontal="center"/>
      <protection locked="0"/>
    </xf>
    <xf numFmtId="21" fontId="0" fillId="19" borderId="51" xfId="0" applyNumberFormat="1" applyFill="1" applyBorder="1" applyAlignment="1" applyProtection="1">
      <alignment horizontal="center"/>
      <protection locked="0"/>
    </xf>
    <xf numFmtId="21" fontId="0" fillId="19" borderId="52" xfId="0" applyNumberFormat="1" applyFill="1" applyBorder="1" applyAlignment="1" applyProtection="1">
      <alignment horizontal="center"/>
      <protection locked="0"/>
    </xf>
    <xf numFmtId="21" fontId="0" fillId="17" borderId="50" xfId="0" applyNumberFormat="1" applyFill="1" applyBorder="1" applyAlignment="1" applyProtection="1">
      <alignment horizontal="center"/>
      <protection locked="0"/>
    </xf>
    <xf numFmtId="21" fontId="0" fillId="17" borderId="51" xfId="0" applyNumberFormat="1" applyFill="1" applyBorder="1" applyAlignment="1" applyProtection="1">
      <alignment horizontal="center"/>
      <protection locked="0"/>
    </xf>
    <xf numFmtId="21" fontId="0" fillId="17" borderId="52" xfId="0" applyNumberFormat="1" applyFill="1" applyBorder="1" applyAlignment="1" applyProtection="1">
      <alignment horizontal="center"/>
      <protection locked="0"/>
    </xf>
    <xf numFmtId="21" fontId="0" fillId="14" borderId="54" xfId="0" applyNumberFormat="1" applyFill="1" applyBorder="1" applyAlignment="1" applyProtection="1">
      <alignment horizontal="center"/>
      <protection locked="0"/>
    </xf>
    <xf numFmtId="21" fontId="0" fillId="19" borderId="6" xfId="0" applyNumberFormat="1" applyFill="1" applyBorder="1" applyAlignment="1" applyProtection="1">
      <alignment horizontal="center"/>
      <protection locked="0"/>
    </xf>
    <xf numFmtId="21" fontId="0" fillId="17" borderId="54" xfId="0" applyNumberFormat="1" applyFill="1" applyBorder="1" applyAlignment="1" applyProtection="1">
      <alignment horizontal="center"/>
      <protection locked="0"/>
    </xf>
    <xf numFmtId="21" fontId="0" fillId="9" borderId="10" xfId="0" applyNumberFormat="1" applyFill="1" applyBorder="1" applyAlignment="1" applyProtection="1">
      <alignment horizontal="center"/>
      <protection locked="0"/>
    </xf>
    <xf numFmtId="21" fontId="0" fillId="11" borderId="10" xfId="0" applyNumberFormat="1" applyFill="1" applyBorder="1" applyAlignment="1" applyProtection="1">
      <alignment horizontal="center"/>
      <protection locked="0"/>
    </xf>
    <xf numFmtId="21" fontId="0" fillId="13" borderId="10" xfId="0" applyNumberFormat="1" applyFill="1" applyBorder="1" applyAlignment="1" applyProtection="1">
      <alignment horizontal="center"/>
      <protection locked="0"/>
    </xf>
    <xf numFmtId="21" fontId="0" fillId="14" borderId="55" xfId="0" applyNumberFormat="1" applyFill="1" applyBorder="1" applyAlignment="1" applyProtection="1">
      <alignment horizontal="center"/>
      <protection locked="0"/>
    </xf>
    <xf numFmtId="21" fontId="0" fillId="17" borderId="55" xfId="0" applyNumberFormat="1" applyFill="1" applyBorder="1" applyAlignment="1" applyProtection="1">
      <alignment horizontal="center"/>
      <protection locked="0"/>
    </xf>
    <xf numFmtId="21" fontId="0" fillId="19" borderId="55" xfId="0" applyNumberFormat="1" applyFill="1" applyBorder="1" applyAlignment="1" applyProtection="1">
      <alignment horizontal="center"/>
      <protection locked="0"/>
    </xf>
    <xf numFmtId="21" fontId="0" fillId="19" borderId="10" xfId="0" applyNumberFormat="1" applyFill="1" applyBorder="1" applyAlignment="1" applyProtection="1">
      <alignment horizontal="center"/>
      <protection locked="0"/>
    </xf>
    <xf numFmtId="21" fontId="0" fillId="0" borderId="16" xfId="0" applyNumberFormat="1" applyBorder="1" applyAlignment="1">
      <alignment horizontal="center"/>
    </xf>
    <xf numFmtId="21" fontId="0" fillId="0" borderId="17" xfId="0" applyNumberFormat="1" applyBorder="1" applyAlignment="1">
      <alignment horizontal="center"/>
    </xf>
    <xf numFmtId="21" fontId="0" fillId="0" borderId="9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5" xfId="0" applyBorder="1"/>
    <xf numFmtId="20" fontId="2" fillId="9" borderId="5" xfId="0" applyNumberFormat="1" applyFont="1" applyFill="1" applyBorder="1"/>
    <xf numFmtId="20" fontId="2" fillId="11" borderId="5" xfId="0" applyNumberFormat="1" applyFont="1" applyFill="1" applyBorder="1"/>
    <xf numFmtId="20" fontId="2" fillId="13" borderId="5" xfId="0" applyNumberFormat="1" applyFont="1" applyFill="1" applyBorder="1"/>
    <xf numFmtId="20" fontId="2" fillId="14" borderId="5" xfId="0" applyNumberFormat="1" applyFont="1" applyFill="1" applyBorder="1"/>
    <xf numFmtId="20" fontId="2" fillId="17" borderId="5" xfId="0" applyNumberFormat="1" applyFont="1" applyFill="1" applyBorder="1"/>
    <xf numFmtId="21" fontId="0" fillId="9" borderId="5" xfId="0" applyNumberFormat="1" applyFill="1" applyBorder="1" applyAlignment="1" applyProtection="1">
      <alignment horizontal="center"/>
      <protection locked="0"/>
    </xf>
    <xf numFmtId="21" fontId="0" fillId="11" borderId="5" xfId="0" applyNumberFormat="1" applyFill="1" applyBorder="1" applyAlignment="1" applyProtection="1">
      <alignment horizontal="center"/>
      <protection locked="0"/>
    </xf>
    <xf numFmtId="21" fontId="0" fillId="13" borderId="5" xfId="0" applyNumberFormat="1" applyFill="1" applyBorder="1" applyAlignment="1" applyProtection="1">
      <alignment horizontal="center"/>
      <protection locked="0"/>
    </xf>
    <xf numFmtId="21" fontId="0" fillId="14" borderId="5" xfId="0" applyNumberFormat="1" applyFill="1" applyBorder="1" applyAlignment="1" applyProtection="1">
      <alignment horizontal="center"/>
      <protection locked="0"/>
    </xf>
    <xf numFmtId="21" fontId="0" fillId="17" borderId="5" xfId="0" applyNumberFormat="1" applyFill="1" applyBorder="1" applyAlignment="1" applyProtection="1">
      <alignment horizontal="center"/>
      <protection locked="0"/>
    </xf>
    <xf numFmtId="21" fontId="0" fillId="19" borderId="5" xfId="0" applyNumberFormat="1" applyFill="1" applyBorder="1" applyAlignment="1" applyProtection="1">
      <alignment horizontal="center"/>
      <protection locked="0"/>
    </xf>
    <xf numFmtId="167" fontId="0" fillId="9" borderId="56" xfId="0" applyNumberFormat="1" applyFill="1" applyBorder="1" applyAlignment="1" applyProtection="1">
      <alignment horizontal="center"/>
      <protection locked="0"/>
    </xf>
    <xf numFmtId="167" fontId="0" fillId="9" borderId="19" xfId="0" applyNumberFormat="1" applyFill="1" applyBorder="1" applyAlignment="1" applyProtection="1">
      <alignment horizontal="center"/>
      <protection locked="0"/>
    </xf>
    <xf numFmtId="167" fontId="0" fillId="9" borderId="47" xfId="0" applyNumberFormat="1" applyFill="1" applyBorder="1" applyAlignment="1" applyProtection="1">
      <alignment horizontal="center"/>
      <protection locked="0"/>
    </xf>
    <xf numFmtId="167" fontId="0" fillId="9" borderId="20" xfId="0" applyNumberFormat="1" applyFill="1" applyBorder="1" applyAlignment="1" applyProtection="1">
      <alignment horizontal="center"/>
      <protection locked="0"/>
    </xf>
    <xf numFmtId="167" fontId="0" fillId="9" borderId="46" xfId="0" applyNumberFormat="1" applyFill="1" applyBorder="1" applyAlignment="1" applyProtection="1">
      <alignment horizontal="center"/>
      <protection locked="0"/>
    </xf>
    <xf numFmtId="167" fontId="0" fillId="6" borderId="24" xfId="0" applyNumberFormat="1" applyFill="1" applyBorder="1" applyProtection="1">
      <protection locked="0"/>
    </xf>
    <xf numFmtId="167" fontId="0" fillId="9" borderId="21" xfId="0" applyNumberFormat="1" applyFill="1" applyBorder="1" applyAlignment="1" applyProtection="1">
      <alignment horizontal="center"/>
      <protection locked="0"/>
    </xf>
    <xf numFmtId="167" fontId="0" fillId="11" borderId="19" xfId="0" applyNumberFormat="1" applyFill="1" applyBorder="1" applyAlignment="1" applyProtection="1">
      <alignment horizontal="center"/>
      <protection locked="0"/>
    </xf>
    <xf numFmtId="167" fontId="0" fillId="11" borderId="47" xfId="0" applyNumberFormat="1" applyFill="1" applyBorder="1" applyAlignment="1" applyProtection="1">
      <alignment horizontal="center"/>
      <protection locked="0"/>
    </xf>
    <xf numFmtId="167" fontId="0" fillId="11" borderId="20" xfId="0" applyNumberFormat="1" applyFill="1" applyBorder="1" applyAlignment="1" applyProtection="1">
      <alignment horizontal="center"/>
      <protection locked="0"/>
    </xf>
    <xf numFmtId="167" fontId="0" fillId="11" borderId="46" xfId="0" applyNumberFormat="1" applyFill="1" applyBorder="1" applyAlignment="1" applyProtection="1">
      <alignment horizontal="center"/>
      <protection locked="0"/>
    </xf>
    <xf numFmtId="167" fontId="0" fillId="11" borderId="21" xfId="0" applyNumberFormat="1" applyFill="1" applyBorder="1" applyAlignment="1" applyProtection="1">
      <alignment horizontal="center"/>
      <protection locked="0"/>
    </xf>
    <xf numFmtId="167" fontId="0" fillId="11" borderId="56" xfId="0" applyNumberFormat="1" applyFill="1" applyBorder="1" applyAlignment="1" applyProtection="1">
      <alignment horizontal="center"/>
      <protection locked="0"/>
    </xf>
    <xf numFmtId="167" fontId="0" fillId="13" borderId="19" xfId="0" applyNumberFormat="1" applyFill="1" applyBorder="1" applyAlignment="1" applyProtection="1">
      <alignment horizontal="center"/>
      <protection locked="0"/>
    </xf>
    <xf numFmtId="167" fontId="0" fillId="13" borderId="16" xfId="0" applyNumberFormat="1" applyFill="1" applyBorder="1" applyAlignment="1" applyProtection="1">
      <alignment horizontal="center"/>
      <protection locked="0"/>
    </xf>
    <xf numFmtId="167" fontId="0" fillId="13" borderId="20" xfId="0" applyNumberFormat="1" applyFill="1" applyBorder="1" applyAlignment="1" applyProtection="1">
      <alignment horizontal="center"/>
      <protection locked="0"/>
    </xf>
    <xf numFmtId="167" fontId="0" fillId="13" borderId="17" xfId="0" applyNumberFormat="1" applyFill="1" applyBorder="1" applyAlignment="1" applyProtection="1">
      <alignment horizontal="center"/>
      <protection locked="0"/>
    </xf>
    <xf numFmtId="167" fontId="0" fillId="13" borderId="21" xfId="0" applyNumberFormat="1" applyFill="1" applyBorder="1" applyAlignment="1" applyProtection="1">
      <alignment horizontal="center"/>
      <protection locked="0"/>
    </xf>
    <xf numFmtId="167" fontId="0" fillId="13" borderId="18" xfId="0" applyNumberFormat="1" applyFill="1" applyBorder="1" applyAlignment="1" applyProtection="1">
      <alignment horizontal="center"/>
      <protection locked="0"/>
    </xf>
    <xf numFmtId="167" fontId="0" fillId="14" borderId="19" xfId="0" applyNumberFormat="1" applyFill="1" applyBorder="1" applyAlignment="1" applyProtection="1">
      <alignment horizontal="center"/>
      <protection locked="0"/>
    </xf>
    <xf numFmtId="167" fontId="0" fillId="14" borderId="47" xfId="0" applyNumberFormat="1" applyFill="1" applyBorder="1" applyAlignment="1" applyProtection="1">
      <alignment horizontal="center"/>
      <protection locked="0"/>
    </xf>
    <xf numFmtId="167" fontId="0" fillId="14" borderId="20" xfId="0" applyNumberFormat="1" applyFill="1" applyBorder="1" applyAlignment="1" applyProtection="1">
      <alignment horizontal="center"/>
      <protection locked="0"/>
    </xf>
    <xf numFmtId="167" fontId="0" fillId="14" borderId="46" xfId="0" applyNumberFormat="1" applyFill="1" applyBorder="1" applyAlignment="1" applyProtection="1">
      <alignment horizontal="center"/>
      <protection locked="0"/>
    </xf>
    <xf numFmtId="167" fontId="0" fillId="14" borderId="21" xfId="0" applyNumberFormat="1" applyFill="1" applyBorder="1" applyAlignment="1" applyProtection="1">
      <alignment horizontal="center"/>
      <protection locked="0"/>
    </xf>
    <xf numFmtId="167" fontId="0" fillId="14" borderId="56" xfId="0" applyNumberFormat="1" applyFill="1" applyBorder="1" applyAlignment="1" applyProtection="1">
      <alignment horizontal="center"/>
      <protection locked="0"/>
    </xf>
    <xf numFmtId="167" fontId="0" fillId="19" borderId="19" xfId="0" applyNumberFormat="1" applyFill="1" applyBorder="1" applyAlignment="1" applyProtection="1">
      <alignment horizontal="center"/>
      <protection locked="0"/>
    </xf>
    <xf numFmtId="167" fontId="0" fillId="19" borderId="16" xfId="0" applyNumberFormat="1" applyFill="1" applyBorder="1" applyAlignment="1" applyProtection="1">
      <alignment horizontal="center"/>
      <protection locked="0"/>
    </xf>
    <xf numFmtId="167" fontId="0" fillId="19" borderId="20" xfId="0" applyNumberFormat="1" applyFill="1" applyBorder="1" applyAlignment="1" applyProtection="1">
      <alignment horizontal="center"/>
      <protection locked="0"/>
    </xf>
    <xf numFmtId="167" fontId="0" fillId="19" borderId="17" xfId="0" applyNumberFormat="1" applyFill="1" applyBorder="1" applyAlignment="1" applyProtection="1">
      <alignment horizontal="center"/>
      <protection locked="0"/>
    </xf>
    <xf numFmtId="167" fontId="0" fillId="6" borderId="23" xfId="0" applyNumberFormat="1" applyFill="1" applyBorder="1" applyProtection="1">
      <protection locked="0"/>
    </xf>
    <xf numFmtId="167" fontId="0" fillId="19" borderId="21" xfId="0" applyNumberFormat="1" applyFill="1" applyBorder="1" applyAlignment="1" applyProtection="1">
      <alignment horizontal="center"/>
      <protection locked="0"/>
    </xf>
    <xf numFmtId="167" fontId="0" fillId="19" borderId="18" xfId="0" applyNumberFormat="1" applyFill="1" applyBorder="1" applyAlignment="1" applyProtection="1">
      <alignment horizontal="center"/>
      <protection locked="0"/>
    </xf>
    <xf numFmtId="167" fontId="0" fillId="17" borderId="19" xfId="0" applyNumberFormat="1" applyFill="1" applyBorder="1" applyAlignment="1" applyProtection="1">
      <alignment horizontal="center"/>
      <protection locked="0"/>
    </xf>
    <xf numFmtId="167" fontId="0" fillId="17" borderId="47" xfId="0" applyNumberFormat="1" applyFill="1" applyBorder="1" applyAlignment="1" applyProtection="1">
      <alignment horizontal="center"/>
      <protection locked="0"/>
    </xf>
    <xf numFmtId="167" fontId="0" fillId="17" borderId="20" xfId="0" applyNumberFormat="1" applyFill="1" applyBorder="1" applyAlignment="1" applyProtection="1">
      <alignment horizontal="center"/>
      <protection locked="0"/>
    </xf>
    <xf numFmtId="167" fontId="0" fillId="17" borderId="46" xfId="0" applyNumberFormat="1" applyFill="1" applyBorder="1" applyAlignment="1" applyProtection="1">
      <alignment horizontal="center"/>
      <protection locked="0"/>
    </xf>
    <xf numFmtId="167" fontId="0" fillId="17" borderId="21" xfId="0" applyNumberFormat="1" applyFill="1" applyBorder="1" applyAlignment="1" applyProtection="1">
      <alignment horizontal="center"/>
      <protection locked="0"/>
    </xf>
    <xf numFmtId="167" fontId="0" fillId="17" borderId="56" xfId="0" applyNumberFormat="1" applyFill="1" applyBorder="1" applyAlignment="1" applyProtection="1">
      <alignment horizontal="center"/>
      <protection locked="0"/>
    </xf>
    <xf numFmtId="167" fontId="0" fillId="9" borderId="5" xfId="0" applyNumberFormat="1" applyFill="1" applyBorder="1" applyAlignment="1" applyProtection="1">
      <alignment horizontal="center"/>
      <protection locked="0"/>
    </xf>
    <xf numFmtId="167" fontId="0" fillId="11" borderId="5" xfId="0" applyNumberFormat="1" applyFill="1" applyBorder="1" applyAlignment="1" applyProtection="1">
      <alignment horizontal="center"/>
      <protection locked="0"/>
    </xf>
    <xf numFmtId="167" fontId="0" fillId="13" borderId="5" xfId="0" applyNumberFormat="1" applyFill="1" applyBorder="1" applyAlignment="1" applyProtection="1">
      <alignment horizontal="center"/>
      <protection locked="0"/>
    </xf>
    <xf numFmtId="167" fontId="0" fillId="14" borderId="5" xfId="0" applyNumberFormat="1" applyFill="1" applyBorder="1" applyAlignment="1" applyProtection="1">
      <alignment horizontal="center"/>
      <protection locked="0"/>
    </xf>
    <xf numFmtId="167" fontId="0" fillId="17" borderId="5" xfId="0" applyNumberFormat="1" applyFill="1" applyBorder="1" applyAlignment="1" applyProtection="1">
      <alignment horizontal="center"/>
      <protection locked="0"/>
    </xf>
    <xf numFmtId="167" fontId="0" fillId="19" borderId="5" xfId="0" applyNumberFormat="1" applyFill="1" applyBorder="1" applyAlignment="1" applyProtection="1">
      <alignment horizontal="center"/>
      <protection locked="0"/>
    </xf>
    <xf numFmtId="167" fontId="0" fillId="0" borderId="16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1" fontId="0" fillId="0" borderId="7" xfId="0" applyNumberForma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/>
    </xf>
    <xf numFmtId="168" fontId="2" fillId="0" borderId="11" xfId="1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0" fillId="0" borderId="0" xfId="1" applyFont="1" applyProtection="1"/>
    <xf numFmtId="49" fontId="0" fillId="0" borderId="0" xfId="0" applyNumberFormat="1"/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 applyProtection="1"/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8" fontId="0" fillId="0" borderId="1" xfId="1" applyNumberFormat="1" applyFont="1" applyBorder="1" applyProtection="1"/>
    <xf numFmtId="49" fontId="0" fillId="0" borderId="1" xfId="0" applyNumberFormat="1" applyBorder="1" applyAlignment="1">
      <alignment horizontal="center" vertical="center"/>
    </xf>
    <xf numFmtId="49" fontId="4" fillId="0" borderId="0" xfId="0" applyNumberFormat="1" applyFont="1"/>
    <xf numFmtId="44" fontId="4" fillId="0" borderId="0" xfId="1" applyFont="1" applyProtection="1"/>
    <xf numFmtId="0" fontId="0" fillId="20" borderId="0" xfId="0" applyFill="1"/>
    <xf numFmtId="0" fontId="2" fillId="20" borderId="0" xfId="0" applyFont="1" applyFill="1" applyAlignment="1">
      <alignment horizontal="center"/>
    </xf>
    <xf numFmtId="172" fontId="0" fillId="20" borderId="0" xfId="0" applyNumberFormat="1" applyFill="1"/>
    <xf numFmtId="20" fontId="0" fillId="0" borderId="1" xfId="0" applyNumberFormat="1" applyBorder="1" applyProtection="1">
      <protection locked="0"/>
    </xf>
    <xf numFmtId="20" fontId="0" fillId="0" borderId="3" xfId="0" applyNumberFormat="1" applyBorder="1" applyProtection="1">
      <protection locked="0"/>
    </xf>
    <xf numFmtId="0" fontId="0" fillId="20" borderId="0" xfId="0" applyFill="1" applyAlignment="1">
      <alignment horizontal="right"/>
    </xf>
    <xf numFmtId="2" fontId="0" fillId="20" borderId="0" xfId="0" applyNumberFormat="1" applyFill="1"/>
    <xf numFmtId="20" fontId="0" fillId="0" borderId="1" xfId="0" applyNumberFormat="1" applyBorder="1"/>
    <xf numFmtId="0" fontId="2" fillId="0" borderId="53" xfId="0" applyFon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67" fontId="0" fillId="0" borderId="18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0" fontId="2" fillId="0" borderId="5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 applyProtection="1">
      <alignment horizontal="left" indent="1"/>
      <protection locked="0"/>
    </xf>
    <xf numFmtId="14" fontId="7" fillId="3" borderId="0" xfId="0" applyNumberFormat="1" applyFont="1" applyFill="1" applyAlignment="1" applyProtection="1">
      <alignment horizontal="left" indent="1"/>
      <protection locked="0"/>
    </xf>
    <xf numFmtId="0" fontId="0" fillId="19" borderId="43" xfId="0" applyFill="1" applyBorder="1" applyAlignment="1">
      <alignment horizontal="center"/>
    </xf>
    <xf numFmtId="0" fontId="0" fillId="19" borderId="45" xfId="0" applyFill="1" applyBorder="1" applyAlignment="1">
      <alignment horizontal="center"/>
    </xf>
    <xf numFmtId="0" fontId="12" fillId="6" borderId="0" xfId="0" applyFont="1" applyFill="1" applyAlignment="1">
      <alignment horizontal="center" wrapText="1"/>
    </xf>
    <xf numFmtId="0" fontId="12" fillId="6" borderId="48" xfId="0" applyFont="1" applyFill="1" applyBorder="1" applyAlignment="1">
      <alignment horizontal="center" wrapText="1"/>
    </xf>
    <xf numFmtId="0" fontId="0" fillId="7" borderId="2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8" fillId="15" borderId="22" xfId="0" applyFont="1" applyFill="1" applyBorder="1" applyAlignment="1">
      <alignment horizontal="center"/>
    </xf>
    <xf numFmtId="0" fontId="8" fillId="15" borderId="24" xfId="0" applyFont="1" applyFill="1" applyBorder="1" applyAlignment="1">
      <alignment horizontal="center"/>
    </xf>
    <xf numFmtId="0" fontId="8" fillId="15" borderId="23" xfId="0" applyFont="1" applyFill="1" applyBorder="1" applyAlignment="1">
      <alignment horizontal="center"/>
    </xf>
    <xf numFmtId="0" fontId="8" fillId="16" borderId="22" xfId="0" applyFont="1" applyFill="1" applyBorder="1" applyAlignment="1">
      <alignment horizontal="center"/>
    </xf>
    <xf numFmtId="0" fontId="8" fillId="16" borderId="24" xfId="0" applyFont="1" applyFill="1" applyBorder="1" applyAlignment="1">
      <alignment horizontal="center"/>
    </xf>
    <xf numFmtId="0" fontId="8" fillId="16" borderId="23" xfId="0" applyFont="1" applyFill="1" applyBorder="1" applyAlignment="1">
      <alignment horizontal="center"/>
    </xf>
    <xf numFmtId="0" fontId="8" fillId="18" borderId="22" xfId="0" applyFont="1" applyFill="1" applyBorder="1" applyAlignment="1">
      <alignment horizontal="center"/>
    </xf>
    <xf numFmtId="0" fontId="8" fillId="18" borderId="24" xfId="0" applyFont="1" applyFill="1" applyBorder="1" applyAlignment="1">
      <alignment horizontal="center"/>
    </xf>
    <xf numFmtId="0" fontId="8" fillId="18" borderId="23" xfId="0" applyFont="1" applyFill="1" applyBorder="1" applyAlignment="1">
      <alignment horizontal="center"/>
    </xf>
    <xf numFmtId="0" fontId="0" fillId="19" borderId="22" xfId="0" applyFill="1" applyBorder="1" applyAlignment="1">
      <alignment horizontal="center"/>
    </xf>
    <xf numFmtId="0" fontId="0" fillId="19" borderId="23" xfId="0" applyFill="1" applyBorder="1" applyAlignment="1">
      <alignment horizontal="center"/>
    </xf>
    <xf numFmtId="0" fontId="0" fillId="14" borderId="43" xfId="0" applyFill="1" applyBorder="1" applyAlignment="1">
      <alignment horizontal="center"/>
    </xf>
    <xf numFmtId="0" fontId="0" fillId="14" borderId="45" xfId="0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0" fillId="14" borderId="23" xfId="0" applyFill="1" applyBorder="1" applyAlignment="1">
      <alignment horizontal="center"/>
    </xf>
    <xf numFmtId="0" fontId="0" fillId="17" borderId="43" xfId="0" applyFill="1" applyBorder="1" applyAlignment="1">
      <alignment horizontal="center"/>
    </xf>
    <xf numFmtId="0" fontId="0" fillId="17" borderId="45" xfId="0" applyFill="1" applyBorder="1" applyAlignment="1">
      <alignment horizontal="center"/>
    </xf>
    <xf numFmtId="0" fontId="0" fillId="17" borderId="22" xfId="0" applyFill="1" applyBorder="1" applyAlignment="1">
      <alignment horizontal="center"/>
    </xf>
    <xf numFmtId="0" fontId="0" fillId="17" borderId="23" xfId="0" applyFill="1" applyBorder="1" applyAlignment="1">
      <alignment horizontal="center"/>
    </xf>
    <xf numFmtId="0" fontId="0" fillId="20" borderId="0" xfId="0" applyFill="1" applyAlignment="1">
      <alignment horizontal="center"/>
    </xf>
    <xf numFmtId="0" fontId="8" fillId="8" borderId="0" xfId="0" applyFont="1" applyFill="1" applyAlignment="1">
      <alignment horizontal="right"/>
    </xf>
    <xf numFmtId="0" fontId="8" fillId="10" borderId="0" xfId="0" applyFont="1" applyFill="1" applyAlignment="1">
      <alignment horizontal="right"/>
    </xf>
    <xf numFmtId="0" fontId="8" fillId="12" borderId="0" xfId="0" applyFont="1" applyFill="1" applyAlignment="1">
      <alignment horizontal="right"/>
    </xf>
    <xf numFmtId="0" fontId="0" fillId="9" borderId="22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8" fillId="15" borderId="0" xfId="0" applyFont="1" applyFill="1" applyAlignment="1">
      <alignment horizontal="center"/>
    </xf>
    <xf numFmtId="0" fontId="8" fillId="16" borderId="0" xfId="0" applyFont="1" applyFill="1" applyAlignment="1">
      <alignment horizontal="center"/>
    </xf>
    <xf numFmtId="0" fontId="8" fillId="18" borderId="0" xfId="0" applyFont="1" applyFill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10" borderId="22" xfId="0" applyFont="1" applyFill="1" applyBorder="1" applyAlignment="1">
      <alignment horizontal="center"/>
    </xf>
    <xf numFmtId="0" fontId="8" fillId="10" borderId="24" xfId="0" applyFont="1" applyFill="1" applyBorder="1" applyAlignment="1">
      <alignment horizontal="center"/>
    </xf>
    <xf numFmtId="0" fontId="8" fillId="10" borderId="23" xfId="0" applyFont="1" applyFill="1" applyBorder="1" applyAlignment="1">
      <alignment horizontal="center"/>
    </xf>
    <xf numFmtId="0" fontId="8" fillId="12" borderId="22" xfId="0" applyFont="1" applyFill="1" applyBorder="1" applyAlignment="1">
      <alignment horizontal="center"/>
    </xf>
    <xf numFmtId="0" fontId="8" fillId="12" borderId="24" xfId="0" applyFont="1" applyFill="1" applyBorder="1" applyAlignment="1">
      <alignment horizontal="center"/>
    </xf>
    <xf numFmtId="0" fontId="8" fillId="12" borderId="23" xfId="0" applyFont="1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0" fillId="13" borderId="43" xfId="0" applyFill="1" applyBorder="1" applyAlignment="1">
      <alignment horizontal="center"/>
    </xf>
    <xf numFmtId="0" fontId="0" fillId="13" borderId="45" xfId="0" applyFill="1" applyBorder="1" applyAlignment="1">
      <alignment horizontal="center"/>
    </xf>
    <xf numFmtId="0" fontId="0" fillId="11" borderId="43" xfId="0" applyFill="1" applyBorder="1" applyAlignment="1">
      <alignment horizontal="center"/>
    </xf>
    <xf numFmtId="0" fontId="0" fillId="11" borderId="45" xfId="0" applyFill="1" applyBorder="1" applyAlignment="1">
      <alignment horizontal="center"/>
    </xf>
    <xf numFmtId="0" fontId="2" fillId="2" borderId="43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2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2" borderId="22" xfId="0" applyFont="1" applyFill="1" applyBorder="1" applyAlignment="1">
      <alignment horizontal="center" wrapText="1"/>
    </xf>
    <xf numFmtId="164" fontId="2" fillId="0" borderId="18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0" fillId="11" borderId="22" xfId="0" applyFill="1" applyBorder="1" applyAlignment="1" applyProtection="1">
      <alignment horizontal="center"/>
      <protection locked="0"/>
    </xf>
    <xf numFmtId="0" fontId="0" fillId="11" borderId="23" xfId="0" applyFill="1" applyBorder="1" applyAlignment="1" applyProtection="1">
      <alignment horizontal="center"/>
      <protection locked="0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173" fontId="2" fillId="0" borderId="18" xfId="0" applyNumberFormat="1" applyFont="1" applyBorder="1" applyAlignment="1">
      <alignment horizontal="center" vertical="center"/>
    </xf>
    <xf numFmtId="173" fontId="2" fillId="0" borderId="11" xfId="0" applyNumberFormat="1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horizontal="center" vertical="top"/>
    </xf>
    <xf numFmtId="0" fontId="8" fillId="2" borderId="29" xfId="0" applyFont="1" applyFill="1" applyBorder="1" applyAlignment="1">
      <alignment horizontal="center" vertical="top"/>
    </xf>
    <xf numFmtId="168" fontId="2" fillId="0" borderId="33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9" xfId="0" applyNumberFormat="1" applyFont="1" applyBorder="1" applyAlignment="1">
      <alignment horizontal="center"/>
    </xf>
    <xf numFmtId="168" fontId="2" fillId="0" borderId="42" xfId="0" applyNumberFormat="1" applyFont="1" applyBorder="1" applyAlignment="1">
      <alignment horizontal="center"/>
    </xf>
    <xf numFmtId="168" fontId="2" fillId="0" borderId="37" xfId="0" applyNumberFormat="1" applyFont="1" applyBorder="1" applyAlignment="1">
      <alignment horizontal="center"/>
    </xf>
    <xf numFmtId="167" fontId="2" fillId="0" borderId="40" xfId="0" applyNumberFormat="1" applyFont="1" applyBorder="1" applyAlignment="1">
      <alignment horizontal="center"/>
    </xf>
    <xf numFmtId="167" fontId="2" fillId="0" borderId="41" xfId="0" applyNumberFormat="1" applyFont="1" applyBorder="1" applyAlignment="1">
      <alignment horizontal="center"/>
    </xf>
    <xf numFmtId="166" fontId="2" fillId="0" borderId="10" xfId="0" applyNumberFormat="1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/>
    </xf>
    <xf numFmtId="0" fontId="8" fillId="2" borderId="23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wrapText="1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661818"/>
      <color rgb="FF424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safety.fhwa.dot.gov/tools/crf/resources/fhwasa08011/" TargetMode="External"/><Relationship Id="rId2" Type="http://schemas.openxmlformats.org/officeDocument/2006/relationships/hyperlink" Target="https://www.bls.gov/data/inflation_calculator.htm" TargetMode="External"/><Relationship Id="rId1" Type="http://schemas.openxmlformats.org/officeDocument/2006/relationships/hyperlink" Target="https://mobility.tamu.edu/umr/report/" TargetMode="External"/><Relationship Id="rId6" Type="http://schemas.openxmlformats.org/officeDocument/2006/relationships/hyperlink" Target="https://www.eia.gov/dnav/pet/hist/LeafHandler.ashx?n=PET&amp;s=EMM_EPM0U_PTE_SOH_DPG&amp;f=W" TargetMode="External"/><Relationship Id="rId5" Type="http://schemas.openxmlformats.org/officeDocument/2006/relationships/hyperlink" Target="https://permanent.access.gpo.gov/lps57467/lps57467/isddc.dot.gov/OLPFiles/FHWA/" TargetMode="External"/><Relationship Id="rId4" Type="http://schemas.openxmlformats.org/officeDocument/2006/relationships/hyperlink" Target="https://www.bls.gov/news.release/eci.t04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409575</xdr:rowOff>
    </xdr:from>
    <xdr:to>
      <xdr:col>12</xdr:col>
      <xdr:colOff>503963</xdr:colOff>
      <xdr:row>23</xdr:row>
      <xdr:rowOff>189937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1162050"/>
          <a:ext cx="6895238" cy="4504762"/>
        </a:xfrm>
        <a:prstGeom prst="rect">
          <a:avLst/>
        </a:prstGeom>
      </xdr:spPr>
    </xdr:pic>
    <xdr:clientData/>
  </xdr:twoCellAnchor>
  <xdr:oneCellAnchor>
    <xdr:from>
      <xdr:col>1</xdr:col>
      <xdr:colOff>542925</xdr:colOff>
      <xdr:row>5</xdr:row>
      <xdr:rowOff>47625</xdr:rowOff>
    </xdr:from>
    <xdr:ext cx="1371600" cy="269369"/>
    <xdr:sp macro="" textlink="Delay!C37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23950" y="2085975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fld id="{EEF876B0-0C41-4586-A237-C32BEFE1E70D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cs typeface="Arial" panose="020B0604020202020204" pitchFamily="34" charset="0"/>
            </a:rPr>
            <a:pPr algn="r"/>
            <a:t> </a:t>
          </a:fld>
          <a:endParaRPr lang="en-US" sz="1200">
            <a:solidFill>
              <a:srgbClr val="42424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8</xdr:row>
      <xdr:rowOff>127000</xdr:rowOff>
    </xdr:from>
    <xdr:ext cx="1704975" cy="269369"/>
    <xdr:sp macro="" textlink="Safety!C27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914899" y="2736850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9B3173DA-95DD-4679-8B7E-B18FCA96E0B9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$0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7</xdr:row>
      <xdr:rowOff>104775</xdr:rowOff>
    </xdr:from>
    <xdr:ext cx="1704975" cy="269369"/>
    <xdr:sp macro="" textlink="$W$6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14899" y="2524125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088E71B0-28D4-4C0B-AA59-817BCC9CE3E1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0 Crashes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304800</xdr:colOff>
      <xdr:row>4</xdr:row>
      <xdr:rowOff>19050</xdr:rowOff>
    </xdr:from>
    <xdr:ext cx="1609725" cy="269369"/>
    <xdr:sp macro="" textlink="$W$5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" y="1866900"/>
          <a:ext cx="160972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C517C3BE-FD94-4000-8DF1-7E953A5C652E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 Hours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542925</xdr:colOff>
      <xdr:row>13</xdr:row>
      <xdr:rowOff>117475</xdr:rowOff>
    </xdr:from>
    <xdr:ext cx="1371600" cy="269369"/>
    <xdr:sp macro="" textlink="$V$8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23950" y="3689350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6C6FCCC1-2F14-4ABE-AAE2-F115649664EA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 $-   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304800</xdr:colOff>
      <xdr:row>12</xdr:row>
      <xdr:rowOff>88900</xdr:rowOff>
    </xdr:from>
    <xdr:ext cx="1609725" cy="269369"/>
    <xdr:sp macro="" textlink="$W$8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" y="3470275"/>
          <a:ext cx="160972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D82B9562-04B7-4582-A914-F20295133A05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0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17</xdr:row>
      <xdr:rowOff>165100</xdr:rowOff>
    </xdr:from>
    <xdr:ext cx="1704975" cy="269369"/>
    <xdr:sp macro="" textlink="$V$7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914899" y="4498975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4BEEF868-9959-4A1D-BE75-BA9F9434D6B7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 $-   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16</xdr:row>
      <xdr:rowOff>136525</xdr:rowOff>
    </xdr:from>
    <xdr:ext cx="1704975" cy="269369"/>
    <xdr:sp macro="" textlink="$W$7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914899" y="4279900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AA1CD0AD-7FE8-42FE-9689-C8529D3B8EC0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#N/A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552450</xdr:colOff>
      <xdr:row>21</xdr:row>
      <xdr:rowOff>3175</xdr:rowOff>
    </xdr:from>
    <xdr:ext cx="1371600" cy="269369"/>
    <xdr:sp macro="" textlink="$V$10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33475" y="5099050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79E63B4C-3FAD-4B46-B582-F4F0E11EE708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0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240631</xdr:colOff>
      <xdr:row>2</xdr:row>
      <xdr:rowOff>675218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3F58E60-9CD1-4925-9E93-A9A578567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3684" cy="1427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14</xdr:row>
      <xdr:rowOff>25400</xdr:rowOff>
    </xdr:from>
    <xdr:to>
      <xdr:col>0</xdr:col>
      <xdr:colOff>1454150</xdr:colOff>
      <xdr:row>15</xdr:row>
      <xdr:rowOff>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B70E4-0817-4039-9D35-3363C59C36B0}"/>
            </a:ext>
          </a:extLst>
        </xdr:cNvPr>
        <xdr:cNvSpPr/>
      </xdr:nvSpPr>
      <xdr:spPr>
        <a:xfrm>
          <a:off x="165100" y="3168650"/>
          <a:ext cx="1289050" cy="165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723900</xdr:colOff>
      <xdr:row>15</xdr:row>
      <xdr:rowOff>0</xdr:rowOff>
    </xdr:from>
    <xdr:to>
      <xdr:col>1</xdr:col>
      <xdr:colOff>1771650</xdr:colOff>
      <xdr:row>15</xdr:row>
      <xdr:rowOff>0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8ABE00-3076-454C-98E2-99784CCA9699}"/>
            </a:ext>
          </a:extLst>
        </xdr:cNvPr>
        <xdr:cNvSpPr/>
      </xdr:nvSpPr>
      <xdr:spPr>
        <a:xfrm>
          <a:off x="2438400" y="3530600"/>
          <a:ext cx="104775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177800</xdr:colOff>
      <xdr:row>18</xdr:row>
      <xdr:rowOff>0</xdr:rowOff>
    </xdr:from>
    <xdr:to>
      <xdr:col>1</xdr:col>
      <xdr:colOff>609600</xdr:colOff>
      <xdr:row>18</xdr:row>
      <xdr:rowOff>0</xdr:rowOff>
    </xdr:to>
    <xdr:sp macro="" textlink="">
      <xdr:nvSpPr>
        <xdr:cNvPr id="7" name="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D2B894-D2E6-4DA1-90AE-6725897EBF6C}"/>
            </a:ext>
          </a:extLst>
        </xdr:cNvPr>
        <xdr:cNvSpPr/>
      </xdr:nvSpPr>
      <xdr:spPr>
        <a:xfrm>
          <a:off x="177800" y="4673600"/>
          <a:ext cx="2146300" cy="114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127000</xdr:colOff>
      <xdr:row>17</xdr:row>
      <xdr:rowOff>57150</xdr:rowOff>
    </xdr:from>
    <xdr:to>
      <xdr:col>0</xdr:col>
      <xdr:colOff>1390650</xdr:colOff>
      <xdr:row>17</xdr:row>
      <xdr:rowOff>152400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05AAD1-ABDE-48BD-88A3-CA713D3B1510}"/>
            </a:ext>
          </a:extLst>
        </xdr:cNvPr>
        <xdr:cNvSpPr/>
      </xdr:nvSpPr>
      <xdr:spPr>
        <a:xfrm>
          <a:off x="127000" y="4305300"/>
          <a:ext cx="1263650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825500</xdr:colOff>
      <xdr:row>16</xdr:row>
      <xdr:rowOff>25400</xdr:rowOff>
    </xdr:from>
    <xdr:to>
      <xdr:col>3</xdr:col>
      <xdr:colOff>317500</xdr:colOff>
      <xdr:row>17</xdr:row>
      <xdr:rowOff>0</xdr:rowOff>
    </xdr:to>
    <xdr:sp macro="" textlink="">
      <xdr:nvSpPr>
        <xdr:cNvPr id="9" name="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53D2E6-2B11-431D-8962-BEE895430C83}"/>
            </a:ext>
          </a:extLst>
        </xdr:cNvPr>
        <xdr:cNvSpPr/>
      </xdr:nvSpPr>
      <xdr:spPr>
        <a:xfrm>
          <a:off x="4813300" y="4089400"/>
          <a:ext cx="104775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209551</xdr:colOff>
      <xdr:row>18</xdr:row>
      <xdr:rowOff>57150</xdr:rowOff>
    </xdr:from>
    <xdr:to>
      <xdr:col>1</xdr:col>
      <xdr:colOff>1752601</xdr:colOff>
      <xdr:row>18</xdr:row>
      <xdr:rowOff>171450</xdr:rowOff>
    </xdr:to>
    <xdr:sp macro="" textlink="">
      <xdr:nvSpPr>
        <xdr:cNvPr id="10" name="Rectangl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06AD2B3-1A88-41C6-B0D7-7BD9E61A16C3}"/>
            </a:ext>
          </a:extLst>
        </xdr:cNvPr>
        <xdr:cNvSpPr/>
      </xdr:nvSpPr>
      <xdr:spPr>
        <a:xfrm>
          <a:off x="209551" y="4489450"/>
          <a:ext cx="3257550" cy="114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171450</xdr:colOff>
      <xdr:row>21</xdr:row>
      <xdr:rowOff>57150</xdr:rowOff>
    </xdr:from>
    <xdr:to>
      <xdr:col>1</xdr:col>
      <xdr:colOff>501650</xdr:colOff>
      <xdr:row>21</xdr:row>
      <xdr:rowOff>152400</xdr:rowOff>
    </xdr:to>
    <xdr:sp macro="" textlink="">
      <xdr:nvSpPr>
        <xdr:cNvPr id="11" name="Rectangl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0230E6D-BEA4-4FE2-A97B-171E2366E32C}"/>
            </a:ext>
          </a:extLst>
        </xdr:cNvPr>
        <xdr:cNvSpPr/>
      </xdr:nvSpPr>
      <xdr:spPr>
        <a:xfrm>
          <a:off x="171450" y="5041900"/>
          <a:ext cx="2044700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isher, Charles" id="{6181AB62-61C2-4BA1-AB4E-375862F6BE88}" userId="S::10092883@id.ohio.gov::1f2a4a01-9e04-4c5e-bb22-eb661bc74ab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1-02-22T16:21:25.78" personId="{6181AB62-61C2-4BA1-AB4E-375862F6BE88}" id="{6930C50A-75C7-48A8-AC5C-7314E116DB34}">
    <text>Note: Min. 1 month of data; Matching data duration and characteristics (Days, Weekday/Weekend, etc.) required to compare Before and After.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4" dT="2021-02-22T16:21:25.78" personId="{6181AB62-61C2-4BA1-AB4E-375862F6BE88}" id="{6542A708-87C1-4FBD-91E8-C3730554AA1F}">
    <text>Note: Min. 1 month of data; Matching data duration and characteristics (Days, Weekday/Weekend, etc.) required to compare Before and After.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oogle.com/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google.com/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W25"/>
  <sheetViews>
    <sheetView showGridLines="0" showRowColHeaders="0" tabSelected="1" zoomScale="95" zoomScaleNormal="95" workbookViewId="0"/>
  </sheetViews>
  <sheetFormatPr defaultColWidth="0" defaultRowHeight="14.4" zeroHeight="1" x14ac:dyDescent="0.3"/>
  <cols>
    <col min="1" max="13" width="8.6640625" customWidth="1"/>
    <col min="14" max="19" width="8.6640625" hidden="1" customWidth="1"/>
    <col min="20" max="20" width="9.109375" hidden="1" customWidth="1"/>
    <col min="21" max="22" width="15" hidden="1" customWidth="1"/>
    <col min="23" max="16384" width="9.109375" hidden="1"/>
  </cols>
  <sheetData>
    <row r="1" spans="1:23" ht="39" customHeight="1" x14ac:dyDescent="0.4">
      <c r="A1" s="55"/>
      <c r="B1" s="55"/>
      <c r="C1" s="59" t="s">
        <v>107</v>
      </c>
      <c r="D1" s="55"/>
    </row>
    <row r="2" spans="1:23" ht="20.25" customHeight="1" x14ac:dyDescent="0.3">
      <c r="C2" s="60" t="str">
        <f>"Corridor:  "&amp;'Corridor Information'!B2</f>
        <v xml:space="preserve">Corridor:  </v>
      </c>
    </row>
    <row r="3" spans="1:23" ht="70.5" customHeight="1" thickBot="1" x14ac:dyDescent="0.35"/>
    <row r="4" spans="1:23" ht="15" thickBot="1" x14ac:dyDescent="0.35">
      <c r="U4" s="294" t="s">
        <v>64</v>
      </c>
      <c r="V4" s="295"/>
    </row>
    <row r="5" spans="1:23" x14ac:dyDescent="0.3">
      <c r="U5" s="35" t="s">
        <v>59</v>
      </c>
      <c r="V5" s="57" t="str">
        <f>IFERROR(Delay!C37,0)</f>
        <v/>
      </c>
      <c r="W5" s="41" t="str">
        <f>IFERROR(TEXT(Delay!C36,"#,###")&amp;" Hours",0)</f>
        <v xml:space="preserve"> Hours</v>
      </c>
    </row>
    <row r="6" spans="1:23" x14ac:dyDescent="0.3">
      <c r="U6" s="28" t="s">
        <v>60</v>
      </c>
      <c r="V6" s="57">
        <f>IFERROR(Safety!C27,0)</f>
        <v>0</v>
      </c>
      <c r="W6" t="str">
        <f>IFERROR(Safety!C28&amp;" Crashes",0)</f>
        <v>0 Crashes</v>
      </c>
    </row>
    <row r="7" spans="1:23" x14ac:dyDescent="0.3">
      <c r="U7" s="28" t="s">
        <v>61</v>
      </c>
      <c r="V7" s="57">
        <f>IFERROR(Fuel!C20,0)</f>
        <v>0</v>
      </c>
      <c r="W7" t="e">
        <f>TEXT(Fuel!C19,"#,###")&amp;" Gallons"</f>
        <v>#N/A</v>
      </c>
    </row>
    <row r="8" spans="1:23" x14ac:dyDescent="0.3">
      <c r="U8" s="28" t="s">
        <v>62</v>
      </c>
      <c r="V8" s="57">
        <f>IFERROR(Emissions!C33,0)</f>
        <v>0</v>
      </c>
      <c r="W8">
        <f>IFERROR(Emissions!C32&amp;" kg",0)</f>
        <v>0</v>
      </c>
    </row>
    <row r="9" spans="1:23" x14ac:dyDescent="0.3">
      <c r="U9" s="28" t="s">
        <v>63</v>
      </c>
      <c r="V9" s="57">
        <f>SUM(V5:V8)</f>
        <v>0</v>
      </c>
    </row>
    <row r="10" spans="1:23" ht="15" thickBot="1" x14ac:dyDescent="0.35">
      <c r="U10" s="34" t="s">
        <v>67</v>
      </c>
      <c r="V10" s="52">
        <f>IFERROR(ROUND(V9/'Corridor Information'!C14,0)&amp;":1",0)</f>
        <v>0</v>
      </c>
    </row>
    <row r="11" spans="1:23" x14ac:dyDescent="0.3"/>
    <row r="12" spans="1:23" x14ac:dyDescent="0.3"/>
    <row r="13" spans="1:23" x14ac:dyDescent="0.3"/>
    <row r="14" spans="1:23" x14ac:dyDescent="0.3"/>
    <row r="15" spans="1:23" x14ac:dyDescent="0.3"/>
    <row r="16" spans="1:23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ht="113.25" hidden="1" customHeight="1" x14ac:dyDescent="0.3"/>
  </sheetData>
  <mergeCells count="1">
    <mergeCell ref="U4:V4"/>
  </mergeCells>
  <pageMargins left="0.7" right="0.7" top="0.75" bottom="0.75" header="0.3" footer="0.3"/>
  <pageSetup orientation="landscape" r:id="rId1"/>
  <headerFooter>
    <oddFooter>&amp;RPublish Date: Feb. 2021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0AAD-E95C-4D1A-83A3-1E83FAFE386F}">
  <sheetPr codeName="Sheet9"/>
  <dimension ref="A1:A96"/>
  <sheetViews>
    <sheetView topLeftCell="A64" workbookViewId="0">
      <selection activeCell="J69" sqref="J69"/>
    </sheetView>
  </sheetViews>
  <sheetFormatPr defaultRowHeight="14.4" x14ac:dyDescent="0.3"/>
  <cols>
    <col min="1" max="1" width="11.5546875" style="69" bestFit="1" customWidth="1"/>
  </cols>
  <sheetData>
    <row r="1" spans="1:1" x14ac:dyDescent="0.3">
      <c r="A1" s="69">
        <v>0</v>
      </c>
    </row>
    <row r="2" spans="1:1" x14ac:dyDescent="0.3">
      <c r="A2" s="69">
        <f>A1+TIME(0,15,0)</f>
        <v>1.0416666666666666E-2</v>
      </c>
    </row>
    <row r="3" spans="1:1" x14ac:dyDescent="0.3">
      <c r="A3" s="69">
        <f t="shared" ref="A3:A66" si="0">A2+TIME(0,15,0)</f>
        <v>2.0833333333333332E-2</v>
      </c>
    </row>
    <row r="4" spans="1:1" x14ac:dyDescent="0.3">
      <c r="A4" s="69">
        <f t="shared" si="0"/>
        <v>3.125E-2</v>
      </c>
    </row>
    <row r="5" spans="1:1" x14ac:dyDescent="0.3">
      <c r="A5" s="69">
        <f t="shared" si="0"/>
        <v>4.1666666666666664E-2</v>
      </c>
    </row>
    <row r="6" spans="1:1" x14ac:dyDescent="0.3">
      <c r="A6" s="69">
        <f t="shared" si="0"/>
        <v>5.2083333333333329E-2</v>
      </c>
    </row>
    <row r="7" spans="1:1" x14ac:dyDescent="0.3">
      <c r="A7" s="69">
        <f t="shared" si="0"/>
        <v>6.2499999999999993E-2</v>
      </c>
    </row>
    <row r="8" spans="1:1" x14ac:dyDescent="0.3">
      <c r="A8" s="69">
        <f t="shared" si="0"/>
        <v>7.2916666666666657E-2</v>
      </c>
    </row>
    <row r="9" spans="1:1" x14ac:dyDescent="0.3">
      <c r="A9" s="69">
        <f t="shared" si="0"/>
        <v>8.3333333333333329E-2</v>
      </c>
    </row>
    <row r="10" spans="1:1" x14ac:dyDescent="0.3">
      <c r="A10" s="69">
        <f t="shared" si="0"/>
        <v>9.375E-2</v>
      </c>
    </row>
    <row r="11" spans="1:1" x14ac:dyDescent="0.3">
      <c r="A11" s="69">
        <f t="shared" si="0"/>
        <v>0.10416666666666667</v>
      </c>
    </row>
    <row r="12" spans="1:1" x14ac:dyDescent="0.3">
      <c r="A12" s="69">
        <f t="shared" si="0"/>
        <v>0.11458333333333334</v>
      </c>
    </row>
    <row r="13" spans="1:1" x14ac:dyDescent="0.3">
      <c r="A13" s="69">
        <f t="shared" si="0"/>
        <v>0.125</v>
      </c>
    </row>
    <row r="14" spans="1:1" x14ac:dyDescent="0.3">
      <c r="A14" s="69">
        <f t="shared" si="0"/>
        <v>0.13541666666666666</v>
      </c>
    </row>
    <row r="15" spans="1:1" x14ac:dyDescent="0.3">
      <c r="A15" s="69">
        <f t="shared" si="0"/>
        <v>0.14583333333333331</v>
      </c>
    </row>
    <row r="16" spans="1:1" x14ac:dyDescent="0.3">
      <c r="A16" s="69">
        <f t="shared" si="0"/>
        <v>0.15624999999999997</v>
      </c>
    </row>
    <row r="17" spans="1:1" x14ac:dyDescent="0.3">
      <c r="A17" s="69">
        <f t="shared" si="0"/>
        <v>0.16666666666666663</v>
      </c>
    </row>
    <row r="18" spans="1:1" x14ac:dyDescent="0.3">
      <c r="A18" s="69">
        <f t="shared" si="0"/>
        <v>0.17708333333333329</v>
      </c>
    </row>
    <row r="19" spans="1:1" x14ac:dyDescent="0.3">
      <c r="A19" s="69">
        <f t="shared" si="0"/>
        <v>0.18749999999999994</v>
      </c>
    </row>
    <row r="20" spans="1:1" x14ac:dyDescent="0.3">
      <c r="A20" s="69">
        <f t="shared" si="0"/>
        <v>0.1979166666666666</v>
      </c>
    </row>
    <row r="21" spans="1:1" x14ac:dyDescent="0.3">
      <c r="A21" s="69">
        <f t="shared" si="0"/>
        <v>0.20833333333333326</v>
      </c>
    </row>
    <row r="22" spans="1:1" x14ac:dyDescent="0.3">
      <c r="A22" s="69">
        <f t="shared" si="0"/>
        <v>0.21874999999999992</v>
      </c>
    </row>
    <row r="23" spans="1:1" x14ac:dyDescent="0.3">
      <c r="A23" s="69">
        <f t="shared" si="0"/>
        <v>0.22916666666666657</v>
      </c>
    </row>
    <row r="24" spans="1:1" x14ac:dyDescent="0.3">
      <c r="A24" s="69">
        <f t="shared" si="0"/>
        <v>0.23958333333333323</v>
      </c>
    </row>
    <row r="25" spans="1:1" x14ac:dyDescent="0.3">
      <c r="A25" s="69">
        <f t="shared" si="0"/>
        <v>0.24999999999999989</v>
      </c>
    </row>
    <row r="26" spans="1:1" x14ac:dyDescent="0.3">
      <c r="A26" s="69">
        <f t="shared" si="0"/>
        <v>0.26041666666666657</v>
      </c>
    </row>
    <row r="27" spans="1:1" x14ac:dyDescent="0.3">
      <c r="A27" s="69">
        <f t="shared" si="0"/>
        <v>0.27083333333333326</v>
      </c>
    </row>
    <row r="28" spans="1:1" x14ac:dyDescent="0.3">
      <c r="A28" s="69">
        <f>A27+TIME(0,15,0)</f>
        <v>0.28124999999999994</v>
      </c>
    </row>
    <row r="29" spans="1:1" x14ac:dyDescent="0.3">
      <c r="A29" s="69">
        <f t="shared" si="0"/>
        <v>0.29166666666666663</v>
      </c>
    </row>
    <row r="30" spans="1:1" x14ac:dyDescent="0.3">
      <c r="A30" s="69">
        <f t="shared" si="0"/>
        <v>0.30208333333333331</v>
      </c>
    </row>
    <row r="31" spans="1:1" x14ac:dyDescent="0.3">
      <c r="A31" s="69">
        <f t="shared" si="0"/>
        <v>0.3125</v>
      </c>
    </row>
    <row r="32" spans="1:1" x14ac:dyDescent="0.3">
      <c r="A32" s="69">
        <f t="shared" si="0"/>
        <v>0.32291666666666669</v>
      </c>
    </row>
    <row r="33" spans="1:1" x14ac:dyDescent="0.3">
      <c r="A33" s="69">
        <f t="shared" si="0"/>
        <v>0.33333333333333337</v>
      </c>
    </row>
    <row r="34" spans="1:1" x14ac:dyDescent="0.3">
      <c r="A34" s="69">
        <f t="shared" si="0"/>
        <v>0.34375000000000006</v>
      </c>
    </row>
    <row r="35" spans="1:1" x14ac:dyDescent="0.3">
      <c r="A35" s="69">
        <f t="shared" si="0"/>
        <v>0.35416666666666674</v>
      </c>
    </row>
    <row r="36" spans="1:1" x14ac:dyDescent="0.3">
      <c r="A36" s="69">
        <f t="shared" si="0"/>
        <v>0.36458333333333343</v>
      </c>
    </row>
    <row r="37" spans="1:1" x14ac:dyDescent="0.3">
      <c r="A37" s="69">
        <f t="shared" si="0"/>
        <v>0.37500000000000011</v>
      </c>
    </row>
    <row r="38" spans="1:1" x14ac:dyDescent="0.3">
      <c r="A38" s="69">
        <f t="shared" si="0"/>
        <v>0.3854166666666668</v>
      </c>
    </row>
    <row r="39" spans="1:1" x14ac:dyDescent="0.3">
      <c r="A39" s="69">
        <f t="shared" si="0"/>
        <v>0.39583333333333348</v>
      </c>
    </row>
    <row r="40" spans="1:1" x14ac:dyDescent="0.3">
      <c r="A40" s="69">
        <f t="shared" si="0"/>
        <v>0.40625000000000017</v>
      </c>
    </row>
    <row r="41" spans="1:1" x14ac:dyDescent="0.3">
      <c r="A41" s="69">
        <f t="shared" si="0"/>
        <v>0.41666666666666685</v>
      </c>
    </row>
    <row r="42" spans="1:1" x14ac:dyDescent="0.3">
      <c r="A42" s="69">
        <f t="shared" si="0"/>
        <v>0.42708333333333354</v>
      </c>
    </row>
    <row r="43" spans="1:1" x14ac:dyDescent="0.3">
      <c r="A43" s="69">
        <f t="shared" si="0"/>
        <v>0.43750000000000022</v>
      </c>
    </row>
    <row r="44" spans="1:1" x14ac:dyDescent="0.3">
      <c r="A44" s="69">
        <f t="shared" si="0"/>
        <v>0.44791666666666691</v>
      </c>
    </row>
    <row r="45" spans="1:1" x14ac:dyDescent="0.3">
      <c r="A45" s="69">
        <f t="shared" si="0"/>
        <v>0.45833333333333359</v>
      </c>
    </row>
    <row r="46" spans="1:1" x14ac:dyDescent="0.3">
      <c r="A46" s="69">
        <f t="shared" si="0"/>
        <v>0.46875000000000028</v>
      </c>
    </row>
    <row r="47" spans="1:1" x14ac:dyDescent="0.3">
      <c r="A47" s="69">
        <f t="shared" si="0"/>
        <v>0.47916666666666696</v>
      </c>
    </row>
    <row r="48" spans="1:1" x14ac:dyDescent="0.3">
      <c r="A48" s="69">
        <f t="shared" si="0"/>
        <v>0.48958333333333365</v>
      </c>
    </row>
    <row r="49" spans="1:1" x14ac:dyDescent="0.3">
      <c r="A49" s="69">
        <f t="shared" si="0"/>
        <v>0.50000000000000033</v>
      </c>
    </row>
    <row r="50" spans="1:1" x14ac:dyDescent="0.3">
      <c r="A50" s="69">
        <f t="shared" si="0"/>
        <v>0.51041666666666696</v>
      </c>
    </row>
    <row r="51" spans="1:1" x14ac:dyDescent="0.3">
      <c r="A51" s="69">
        <f t="shared" si="0"/>
        <v>0.52083333333333359</v>
      </c>
    </row>
    <row r="52" spans="1:1" x14ac:dyDescent="0.3">
      <c r="A52" s="69">
        <f t="shared" si="0"/>
        <v>0.53125000000000022</v>
      </c>
    </row>
    <row r="53" spans="1:1" x14ac:dyDescent="0.3">
      <c r="A53" s="69">
        <f>A52+TIME(0,15,0)</f>
        <v>0.54166666666666685</v>
      </c>
    </row>
    <row r="54" spans="1:1" x14ac:dyDescent="0.3">
      <c r="A54" s="69">
        <f t="shared" si="0"/>
        <v>0.55208333333333348</v>
      </c>
    </row>
    <row r="55" spans="1:1" x14ac:dyDescent="0.3">
      <c r="A55" s="69">
        <f t="shared" si="0"/>
        <v>0.56250000000000011</v>
      </c>
    </row>
    <row r="56" spans="1:1" x14ac:dyDescent="0.3">
      <c r="A56" s="69">
        <f t="shared" si="0"/>
        <v>0.57291666666666674</v>
      </c>
    </row>
    <row r="57" spans="1:1" x14ac:dyDescent="0.3">
      <c r="A57" s="69">
        <f t="shared" si="0"/>
        <v>0.58333333333333337</v>
      </c>
    </row>
    <row r="58" spans="1:1" x14ac:dyDescent="0.3">
      <c r="A58" s="69">
        <f t="shared" si="0"/>
        <v>0.59375</v>
      </c>
    </row>
    <row r="59" spans="1:1" x14ac:dyDescent="0.3">
      <c r="A59" s="69">
        <f t="shared" si="0"/>
        <v>0.60416666666666663</v>
      </c>
    </row>
    <row r="60" spans="1:1" x14ac:dyDescent="0.3">
      <c r="A60" s="69">
        <f t="shared" si="0"/>
        <v>0.61458333333333326</v>
      </c>
    </row>
    <row r="61" spans="1:1" x14ac:dyDescent="0.3">
      <c r="A61" s="69">
        <f t="shared" si="0"/>
        <v>0.62499999999999989</v>
      </c>
    </row>
    <row r="62" spans="1:1" x14ac:dyDescent="0.3">
      <c r="A62" s="69">
        <f t="shared" si="0"/>
        <v>0.63541666666666652</v>
      </c>
    </row>
    <row r="63" spans="1:1" x14ac:dyDescent="0.3">
      <c r="A63" s="69">
        <f t="shared" si="0"/>
        <v>0.64583333333333315</v>
      </c>
    </row>
    <row r="64" spans="1:1" x14ac:dyDescent="0.3">
      <c r="A64" s="69">
        <f t="shared" si="0"/>
        <v>0.65624999999999978</v>
      </c>
    </row>
    <row r="65" spans="1:1" x14ac:dyDescent="0.3">
      <c r="A65" s="69">
        <f t="shared" si="0"/>
        <v>0.66666666666666641</v>
      </c>
    </row>
    <row r="66" spans="1:1" x14ac:dyDescent="0.3">
      <c r="A66" s="69">
        <f t="shared" si="0"/>
        <v>0.67708333333333304</v>
      </c>
    </row>
    <row r="67" spans="1:1" x14ac:dyDescent="0.3">
      <c r="A67" s="69">
        <f t="shared" ref="A67" si="1">A66+TIME(0,15,0)</f>
        <v>0.68749999999999967</v>
      </c>
    </row>
    <row r="68" spans="1:1" x14ac:dyDescent="0.3">
      <c r="A68" s="69">
        <f>A67+TIME(0,15,0)</f>
        <v>0.6979166666666663</v>
      </c>
    </row>
    <row r="69" spans="1:1" x14ac:dyDescent="0.3">
      <c r="A69" s="69">
        <f t="shared" ref="A69:A78" si="2">A68+TIME(0,15,0)</f>
        <v>0.70833333333333293</v>
      </c>
    </row>
    <row r="70" spans="1:1" x14ac:dyDescent="0.3">
      <c r="A70" s="69">
        <f t="shared" si="2"/>
        <v>0.71874999999999956</v>
      </c>
    </row>
    <row r="71" spans="1:1" x14ac:dyDescent="0.3">
      <c r="A71" s="69">
        <f t="shared" si="2"/>
        <v>0.72916666666666619</v>
      </c>
    </row>
    <row r="72" spans="1:1" x14ac:dyDescent="0.3">
      <c r="A72" s="69">
        <f t="shared" si="2"/>
        <v>0.73958333333333282</v>
      </c>
    </row>
    <row r="73" spans="1:1" x14ac:dyDescent="0.3">
      <c r="A73" s="69">
        <f t="shared" si="2"/>
        <v>0.74999999999999944</v>
      </c>
    </row>
    <row r="74" spans="1:1" x14ac:dyDescent="0.3">
      <c r="A74" s="69">
        <f t="shared" si="2"/>
        <v>0.76041666666666607</v>
      </c>
    </row>
    <row r="75" spans="1:1" x14ac:dyDescent="0.3">
      <c r="A75" s="69">
        <f t="shared" si="2"/>
        <v>0.7708333333333327</v>
      </c>
    </row>
    <row r="76" spans="1:1" x14ac:dyDescent="0.3">
      <c r="A76" s="69">
        <f t="shared" si="2"/>
        <v>0.78124999999999933</v>
      </c>
    </row>
    <row r="77" spans="1:1" x14ac:dyDescent="0.3">
      <c r="A77" s="69">
        <f t="shared" si="2"/>
        <v>0.79166666666666596</v>
      </c>
    </row>
    <row r="78" spans="1:1" x14ac:dyDescent="0.3">
      <c r="A78" s="69">
        <f t="shared" si="2"/>
        <v>0.80208333333333259</v>
      </c>
    </row>
    <row r="79" spans="1:1" x14ac:dyDescent="0.3">
      <c r="A79" s="69">
        <f>A78+TIME(0,15,0)</f>
        <v>0.81249999999999922</v>
      </c>
    </row>
    <row r="80" spans="1:1" x14ac:dyDescent="0.3">
      <c r="A80" s="69">
        <f t="shared" ref="A80:A88" si="3">A79+TIME(0,15,0)</f>
        <v>0.82291666666666585</v>
      </c>
    </row>
    <row r="81" spans="1:1" x14ac:dyDescent="0.3">
      <c r="A81" s="69">
        <f t="shared" si="3"/>
        <v>0.83333333333333248</v>
      </c>
    </row>
    <row r="82" spans="1:1" x14ac:dyDescent="0.3">
      <c r="A82" s="69">
        <f t="shared" si="3"/>
        <v>0.84374999999999911</v>
      </c>
    </row>
    <row r="83" spans="1:1" x14ac:dyDescent="0.3">
      <c r="A83" s="69">
        <f t="shared" si="3"/>
        <v>0.85416666666666574</v>
      </c>
    </row>
    <row r="84" spans="1:1" x14ac:dyDescent="0.3">
      <c r="A84" s="69">
        <f t="shared" si="3"/>
        <v>0.86458333333333237</v>
      </c>
    </row>
    <row r="85" spans="1:1" x14ac:dyDescent="0.3">
      <c r="A85" s="69">
        <f t="shared" si="3"/>
        <v>0.874999999999999</v>
      </c>
    </row>
    <row r="86" spans="1:1" x14ac:dyDescent="0.3">
      <c r="A86" s="69">
        <f t="shared" si="3"/>
        <v>0.88541666666666563</v>
      </c>
    </row>
    <row r="87" spans="1:1" x14ac:dyDescent="0.3">
      <c r="A87" s="69">
        <f t="shared" si="3"/>
        <v>0.89583333333333226</v>
      </c>
    </row>
    <row r="88" spans="1:1" x14ac:dyDescent="0.3">
      <c r="A88" s="69">
        <f t="shared" si="3"/>
        <v>0.90624999999999889</v>
      </c>
    </row>
    <row r="89" spans="1:1" x14ac:dyDescent="0.3">
      <c r="A89" s="69">
        <f>A88+TIME(0,15,0)</f>
        <v>0.91666666666666552</v>
      </c>
    </row>
    <row r="90" spans="1:1" x14ac:dyDescent="0.3">
      <c r="A90" s="69">
        <f t="shared" ref="A90:A96" si="4">A89+TIME(0,15,0)</f>
        <v>0.92708333333333215</v>
      </c>
    </row>
    <row r="91" spans="1:1" x14ac:dyDescent="0.3">
      <c r="A91" s="69">
        <f t="shared" si="4"/>
        <v>0.93749999999999878</v>
      </c>
    </row>
    <row r="92" spans="1:1" x14ac:dyDescent="0.3">
      <c r="A92" s="69">
        <f t="shared" si="4"/>
        <v>0.94791666666666541</v>
      </c>
    </row>
    <row r="93" spans="1:1" x14ac:dyDescent="0.3">
      <c r="A93" s="69">
        <f t="shared" si="4"/>
        <v>0.95833333333333204</v>
      </c>
    </row>
    <row r="94" spans="1:1" x14ac:dyDescent="0.3">
      <c r="A94" s="69">
        <f t="shared" si="4"/>
        <v>0.96874999999999867</v>
      </c>
    </row>
    <row r="95" spans="1:1" x14ac:dyDescent="0.3">
      <c r="A95" s="69">
        <f t="shared" si="4"/>
        <v>0.9791666666666653</v>
      </c>
    </row>
    <row r="96" spans="1:1" x14ac:dyDescent="0.3">
      <c r="A96" s="69">
        <f t="shared" si="4"/>
        <v>0.98958333333333193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K244"/>
  <sheetViews>
    <sheetView workbookViewId="0">
      <selection activeCell="F25" sqref="F25"/>
    </sheetView>
  </sheetViews>
  <sheetFormatPr defaultRowHeight="14.4" x14ac:dyDescent="0.3"/>
  <cols>
    <col min="1" max="1" width="21.5546875" bestFit="1" customWidth="1"/>
    <col min="2" max="2" width="24.6640625" bestFit="1" customWidth="1"/>
    <col min="3" max="3" width="47.5546875" bestFit="1" customWidth="1"/>
  </cols>
  <sheetData>
    <row r="1" spans="1:11" x14ac:dyDescent="0.3">
      <c r="B1" t="s">
        <v>93</v>
      </c>
      <c r="C1" s="67" t="s">
        <v>94</v>
      </c>
    </row>
    <row r="2" spans="1:11" x14ac:dyDescent="0.3">
      <c r="A2" s="45" t="s">
        <v>79</v>
      </c>
      <c r="B2" s="46">
        <v>0.75099999999999989</v>
      </c>
      <c r="C2" s="67">
        <f>79.1/20.9</f>
        <v>3.7846889952153111</v>
      </c>
      <c r="J2" s="68">
        <f>6.3+5.5+5.3+5.3+5.6+5.8+6+6.5+7.4+8+7.8+5.6</f>
        <v>75.099999999999994</v>
      </c>
      <c r="K2">
        <f>+J2/100</f>
        <v>0.75099999999999989</v>
      </c>
    </row>
    <row r="3" spans="1:11" x14ac:dyDescent="0.3">
      <c r="A3" t="s">
        <v>80</v>
      </c>
      <c r="B3" s="46">
        <v>0.76999999999999991</v>
      </c>
      <c r="C3" s="67">
        <f>77.9/22.1</f>
        <v>3.5248868778280542</v>
      </c>
      <c r="J3" s="68">
        <f>6.2+5.4+5.1+4.7+5.1+5.8+6.1+7.2+8.4+9.8+8.1+5.1</f>
        <v>76.999999999999986</v>
      </c>
      <c r="K3">
        <f t="shared" ref="K3:K11" si="0">+J3/100</f>
        <v>0.76999999999999991</v>
      </c>
    </row>
    <row r="4" spans="1:11" x14ac:dyDescent="0.3">
      <c r="A4" t="s">
        <v>81</v>
      </c>
      <c r="B4" s="46">
        <v>0.78899999999999992</v>
      </c>
      <c r="C4" s="67">
        <f>78.6/21.4</f>
        <v>3.6728971962616823</v>
      </c>
      <c r="J4" s="68">
        <f>6.8+5.6+5.3+5.5+5.8+6.1+6.2+7+8.2+8.7+8.1+5.6</f>
        <v>78.899999999999991</v>
      </c>
      <c r="K4">
        <f t="shared" si="0"/>
        <v>0.78899999999999992</v>
      </c>
    </row>
    <row r="5" spans="1:11" x14ac:dyDescent="0.3">
      <c r="A5" t="s">
        <v>82</v>
      </c>
      <c r="B5" s="46">
        <v>0.77300000000000013</v>
      </c>
      <c r="C5" s="67">
        <f>79.5/20.5</f>
        <v>3.8780487804878048</v>
      </c>
      <c r="J5" s="68">
        <f>6.3+5.5+5.3+5.5+5.9+6.1+6.2+6.9+8.1+8.4+7.7+5.4</f>
        <v>77.300000000000011</v>
      </c>
      <c r="K5">
        <f t="shared" si="0"/>
        <v>0.77300000000000013</v>
      </c>
    </row>
    <row r="6" spans="1:11" x14ac:dyDescent="0.3">
      <c r="A6" t="s">
        <v>83</v>
      </c>
      <c r="B6" s="46">
        <v>0.78700000000000014</v>
      </c>
      <c r="C6" s="67">
        <f>78.7/21.3</f>
        <v>3.6948356807511735</v>
      </c>
      <c r="J6" s="68">
        <f>8.4+4.7+4.5+4.5+4.9+5.2+5.6+7.9+8.1+9.1+8.9+6.9</f>
        <v>78.700000000000017</v>
      </c>
      <c r="K6">
        <f t="shared" si="0"/>
        <v>0.78700000000000014</v>
      </c>
    </row>
    <row r="7" spans="1:11" x14ac:dyDescent="0.3">
      <c r="A7" t="s">
        <v>84</v>
      </c>
      <c r="B7" s="46">
        <v>0.79000000000000015</v>
      </c>
      <c r="C7" s="67">
        <f>78.3/21.7</f>
        <v>3.6082949308755761</v>
      </c>
      <c r="D7" t="s">
        <v>109</v>
      </c>
      <c r="J7" s="68">
        <f>7+5.7+4.9+4.9+5.5+6+6.1+7.1+8.5+9+8.4+5.9</f>
        <v>79.000000000000014</v>
      </c>
      <c r="K7">
        <f t="shared" si="0"/>
        <v>0.79000000000000015</v>
      </c>
    </row>
    <row r="8" spans="1:11" x14ac:dyDescent="0.3">
      <c r="A8" t="s">
        <v>85</v>
      </c>
      <c r="B8" s="46">
        <v>0.74899999999999989</v>
      </c>
      <c r="C8" s="67">
        <f>78.3/21.7</f>
        <v>3.6082949308755761</v>
      </c>
      <c r="J8" s="68">
        <f>7.6+6.2+5+4.7+5+5.3+5.5+6.3+7.6+8.2+7.9+5.6</f>
        <v>74.899999999999991</v>
      </c>
      <c r="K8">
        <f t="shared" si="0"/>
        <v>0.74899999999999989</v>
      </c>
    </row>
    <row r="9" spans="1:11" x14ac:dyDescent="0.3">
      <c r="A9" t="s">
        <v>86</v>
      </c>
      <c r="B9" s="46">
        <v>0.79900000000000004</v>
      </c>
      <c r="C9" s="67">
        <f>80.5/19.5</f>
        <v>4.1282051282051286</v>
      </c>
      <c r="J9" s="68">
        <f>5.9+5.9+5.1+5+5.9+6.5+6.2+6.5+7.8+9+9.2+6.9</f>
        <v>79.900000000000006</v>
      </c>
      <c r="K9">
        <f t="shared" si="0"/>
        <v>0.79900000000000004</v>
      </c>
    </row>
    <row r="10" spans="1:11" x14ac:dyDescent="0.3">
      <c r="A10" t="s">
        <v>87</v>
      </c>
      <c r="B10" s="46">
        <v>0.80399999999999994</v>
      </c>
      <c r="C10" s="67">
        <f>79.2/20.8</f>
        <v>3.8076923076923075</v>
      </c>
      <c r="J10" s="68">
        <f>5.3+5.6+5.4+5.7+6.5+7.1+6.9+7.3+8.1+8.3+8+6.2</f>
        <v>80.399999999999991</v>
      </c>
      <c r="K10">
        <f t="shared" si="0"/>
        <v>0.80399999999999994</v>
      </c>
    </row>
    <row r="11" spans="1:11" x14ac:dyDescent="0.3">
      <c r="A11" t="s">
        <v>88</v>
      </c>
      <c r="B11" s="46">
        <v>0.77399999999999991</v>
      </c>
      <c r="C11" s="67">
        <f>78.7/21.3</f>
        <v>3.6948356807511735</v>
      </c>
      <c r="J11" s="68">
        <f>6.2+5.7+5.1+5.2+5.8+6.2+6.3+6.8+7.7+8.2+8.1+6.1</f>
        <v>77.399999999999991</v>
      </c>
      <c r="K11">
        <f t="shared" si="0"/>
        <v>0.77399999999999991</v>
      </c>
    </row>
    <row r="12" spans="1:11" x14ac:dyDescent="0.3">
      <c r="C12" s="67"/>
    </row>
    <row r="13" spans="1:11" x14ac:dyDescent="0.3">
      <c r="C13" s="67"/>
    </row>
    <row r="14" spans="1:11" x14ac:dyDescent="0.3">
      <c r="C14" s="67" t="s">
        <v>110</v>
      </c>
    </row>
    <row r="15" spans="1:11" x14ac:dyDescent="0.3">
      <c r="C15" s="67"/>
    </row>
    <row r="16" spans="1:11" x14ac:dyDescent="0.3">
      <c r="G16" s="66" t="s">
        <v>108</v>
      </c>
    </row>
    <row r="26" spans="6:6" x14ac:dyDescent="0.3">
      <c r="F26" s="41"/>
    </row>
    <row r="27" spans="6:6" x14ac:dyDescent="0.3">
      <c r="F27" s="42"/>
    </row>
    <row r="28" spans="6:6" x14ac:dyDescent="0.3">
      <c r="F28" s="41"/>
    </row>
    <row r="29" spans="6:6" x14ac:dyDescent="0.3">
      <c r="F29" s="42"/>
    </row>
    <row r="30" spans="6:6" x14ac:dyDescent="0.3">
      <c r="F30" s="41"/>
    </row>
    <row r="31" spans="6:6" x14ac:dyDescent="0.3">
      <c r="F31" s="42"/>
    </row>
    <row r="35" spans="6:6" x14ac:dyDescent="0.3">
      <c r="F35" s="41"/>
    </row>
    <row r="36" spans="6:6" x14ac:dyDescent="0.3">
      <c r="F36" s="42"/>
    </row>
    <row r="37" spans="6:6" x14ac:dyDescent="0.3">
      <c r="F37" s="41"/>
    </row>
    <row r="38" spans="6:6" x14ac:dyDescent="0.3">
      <c r="F38" s="42"/>
    </row>
    <row r="39" spans="6:6" x14ac:dyDescent="0.3">
      <c r="F39" s="41"/>
    </row>
    <row r="40" spans="6:6" x14ac:dyDescent="0.3">
      <c r="F40" s="42"/>
    </row>
    <row r="44" spans="6:6" x14ac:dyDescent="0.3">
      <c r="F44" s="41"/>
    </row>
    <row r="45" spans="6:6" x14ac:dyDescent="0.3">
      <c r="F45" s="42"/>
    </row>
    <row r="46" spans="6:6" x14ac:dyDescent="0.3">
      <c r="F46" s="41"/>
    </row>
    <row r="47" spans="6:6" x14ac:dyDescent="0.3">
      <c r="F47" s="42"/>
    </row>
    <row r="48" spans="6:6" x14ac:dyDescent="0.3">
      <c r="F48" s="41"/>
    </row>
    <row r="49" spans="6:6" x14ac:dyDescent="0.3">
      <c r="F49" s="42"/>
    </row>
    <row r="53" spans="6:6" x14ac:dyDescent="0.3">
      <c r="F53" s="41"/>
    </row>
    <row r="54" spans="6:6" x14ac:dyDescent="0.3">
      <c r="F54" s="42"/>
    </row>
    <row r="55" spans="6:6" x14ac:dyDescent="0.3">
      <c r="F55" s="41"/>
    </row>
    <row r="56" spans="6:6" x14ac:dyDescent="0.3">
      <c r="F56" s="42"/>
    </row>
    <row r="57" spans="6:6" x14ac:dyDescent="0.3">
      <c r="F57" s="41"/>
    </row>
    <row r="58" spans="6:6" x14ac:dyDescent="0.3">
      <c r="F58" s="42"/>
    </row>
    <row r="62" spans="6:6" x14ac:dyDescent="0.3">
      <c r="F62" s="41"/>
    </row>
    <row r="63" spans="6:6" x14ac:dyDescent="0.3">
      <c r="F63" s="42"/>
    </row>
    <row r="64" spans="6:6" x14ac:dyDescent="0.3">
      <c r="F64" s="41"/>
    </row>
    <row r="65" spans="6:6" x14ac:dyDescent="0.3">
      <c r="F65" s="42"/>
    </row>
    <row r="66" spans="6:6" x14ac:dyDescent="0.3">
      <c r="F66" s="41"/>
    </row>
    <row r="67" spans="6:6" x14ac:dyDescent="0.3">
      <c r="F67" s="42"/>
    </row>
    <row r="71" spans="6:6" x14ac:dyDescent="0.3">
      <c r="F71" s="41"/>
    </row>
    <row r="72" spans="6:6" x14ac:dyDescent="0.3">
      <c r="F72" s="42"/>
    </row>
    <row r="73" spans="6:6" x14ac:dyDescent="0.3">
      <c r="F73" s="41"/>
    </row>
    <row r="74" spans="6:6" x14ac:dyDescent="0.3">
      <c r="F74" s="42"/>
    </row>
    <row r="75" spans="6:6" x14ac:dyDescent="0.3">
      <c r="F75" s="41"/>
    </row>
    <row r="76" spans="6:6" x14ac:dyDescent="0.3">
      <c r="F76" s="42"/>
    </row>
    <row r="80" spans="6:6" x14ac:dyDescent="0.3">
      <c r="F80" s="41"/>
    </row>
    <row r="81" spans="6:6" x14ac:dyDescent="0.3">
      <c r="F81" s="42"/>
    </row>
    <row r="82" spans="6:6" x14ac:dyDescent="0.3">
      <c r="F82" s="41"/>
    </row>
    <row r="83" spans="6:6" x14ac:dyDescent="0.3">
      <c r="F83" s="42"/>
    </row>
    <row r="84" spans="6:6" x14ac:dyDescent="0.3">
      <c r="F84" s="41"/>
    </row>
    <row r="85" spans="6:6" x14ac:dyDescent="0.3">
      <c r="F85" s="42"/>
    </row>
    <row r="89" spans="6:6" x14ac:dyDescent="0.3">
      <c r="F89" s="41"/>
    </row>
    <row r="90" spans="6:6" x14ac:dyDescent="0.3">
      <c r="F90" s="42"/>
    </row>
    <row r="91" spans="6:6" x14ac:dyDescent="0.3">
      <c r="F91" s="41"/>
    </row>
    <row r="92" spans="6:6" x14ac:dyDescent="0.3">
      <c r="F92" s="42"/>
    </row>
    <row r="93" spans="6:6" x14ac:dyDescent="0.3">
      <c r="F93" s="41"/>
    </row>
    <row r="94" spans="6:6" x14ac:dyDescent="0.3">
      <c r="F94" s="42"/>
    </row>
    <row r="98" spans="6:6" x14ac:dyDescent="0.3">
      <c r="F98" s="41"/>
    </row>
    <row r="99" spans="6:6" x14ac:dyDescent="0.3">
      <c r="F99" s="42"/>
    </row>
    <row r="100" spans="6:6" x14ac:dyDescent="0.3">
      <c r="F100" s="41"/>
    </row>
    <row r="101" spans="6:6" x14ac:dyDescent="0.3">
      <c r="F101" s="42"/>
    </row>
    <row r="102" spans="6:6" x14ac:dyDescent="0.3">
      <c r="F102" s="41"/>
    </row>
    <row r="103" spans="6:6" x14ac:dyDescent="0.3">
      <c r="F103" s="42"/>
    </row>
    <row r="107" spans="6:6" x14ac:dyDescent="0.3">
      <c r="F107" s="41"/>
    </row>
    <row r="108" spans="6:6" x14ac:dyDescent="0.3">
      <c r="F108" s="42"/>
    </row>
    <row r="109" spans="6:6" x14ac:dyDescent="0.3">
      <c r="F109" s="41"/>
    </row>
    <row r="110" spans="6:6" x14ac:dyDescent="0.3">
      <c r="F110" s="42"/>
    </row>
    <row r="111" spans="6:6" x14ac:dyDescent="0.3">
      <c r="F111" s="41"/>
    </row>
    <row r="112" spans="6:6" x14ac:dyDescent="0.3">
      <c r="F112" s="42"/>
    </row>
    <row r="116" spans="6:6" x14ac:dyDescent="0.3">
      <c r="F116" s="41"/>
    </row>
    <row r="117" spans="6:6" x14ac:dyDescent="0.3">
      <c r="F117" s="42"/>
    </row>
    <row r="118" spans="6:6" x14ac:dyDescent="0.3">
      <c r="F118" s="41"/>
    </row>
    <row r="119" spans="6:6" x14ac:dyDescent="0.3">
      <c r="F119" s="42"/>
    </row>
    <row r="120" spans="6:6" x14ac:dyDescent="0.3">
      <c r="F120" s="41"/>
    </row>
    <row r="121" spans="6:6" x14ac:dyDescent="0.3">
      <c r="F121" s="42"/>
    </row>
    <row r="125" spans="6:6" x14ac:dyDescent="0.3">
      <c r="F125" s="41"/>
    </row>
    <row r="126" spans="6:6" x14ac:dyDescent="0.3">
      <c r="F126" s="42"/>
    </row>
    <row r="127" spans="6:6" x14ac:dyDescent="0.3">
      <c r="F127" s="41"/>
    </row>
    <row r="128" spans="6:6" x14ac:dyDescent="0.3">
      <c r="F128" s="42"/>
    </row>
    <row r="129" spans="6:6" x14ac:dyDescent="0.3">
      <c r="F129" s="41"/>
    </row>
    <row r="130" spans="6:6" x14ac:dyDescent="0.3">
      <c r="F130" s="42"/>
    </row>
    <row r="134" spans="6:6" x14ac:dyDescent="0.3">
      <c r="F134" s="41"/>
    </row>
    <row r="135" spans="6:6" x14ac:dyDescent="0.3">
      <c r="F135" s="42"/>
    </row>
    <row r="136" spans="6:6" x14ac:dyDescent="0.3">
      <c r="F136" s="41"/>
    </row>
    <row r="137" spans="6:6" x14ac:dyDescent="0.3">
      <c r="F137" s="42"/>
    </row>
    <row r="138" spans="6:6" x14ac:dyDescent="0.3">
      <c r="F138" s="41"/>
    </row>
    <row r="139" spans="6:6" x14ac:dyDescent="0.3">
      <c r="F139" s="42"/>
    </row>
    <row r="143" spans="6:6" x14ac:dyDescent="0.3">
      <c r="F143" s="41"/>
    </row>
    <row r="144" spans="6:6" x14ac:dyDescent="0.3">
      <c r="F144" s="42"/>
    </row>
    <row r="145" spans="6:6" x14ac:dyDescent="0.3">
      <c r="F145" s="41"/>
    </row>
    <row r="146" spans="6:6" x14ac:dyDescent="0.3">
      <c r="F146" s="42"/>
    </row>
    <row r="147" spans="6:6" x14ac:dyDescent="0.3">
      <c r="F147" s="41"/>
    </row>
    <row r="148" spans="6:6" x14ac:dyDescent="0.3">
      <c r="F148" s="42"/>
    </row>
    <row r="152" spans="6:6" x14ac:dyDescent="0.3">
      <c r="F152" s="41"/>
    </row>
    <row r="153" spans="6:6" x14ac:dyDescent="0.3">
      <c r="F153" s="42"/>
    </row>
    <row r="154" spans="6:6" x14ac:dyDescent="0.3">
      <c r="F154" s="41"/>
    </row>
    <row r="155" spans="6:6" x14ac:dyDescent="0.3">
      <c r="F155" s="42"/>
    </row>
    <row r="156" spans="6:6" x14ac:dyDescent="0.3">
      <c r="F156" s="41"/>
    </row>
    <row r="157" spans="6:6" x14ac:dyDescent="0.3">
      <c r="F157" s="42"/>
    </row>
    <row r="161" spans="6:6" x14ac:dyDescent="0.3">
      <c r="F161" s="41"/>
    </row>
    <row r="162" spans="6:6" x14ac:dyDescent="0.3">
      <c r="F162" s="42"/>
    </row>
    <row r="163" spans="6:6" x14ac:dyDescent="0.3">
      <c r="F163" s="41"/>
    </row>
    <row r="164" spans="6:6" x14ac:dyDescent="0.3">
      <c r="F164" s="42"/>
    </row>
    <row r="165" spans="6:6" x14ac:dyDescent="0.3">
      <c r="F165" s="41"/>
    </row>
    <row r="166" spans="6:6" x14ac:dyDescent="0.3">
      <c r="F166" s="42"/>
    </row>
    <row r="170" spans="6:6" x14ac:dyDescent="0.3">
      <c r="F170" s="41"/>
    </row>
    <row r="171" spans="6:6" x14ac:dyDescent="0.3">
      <c r="F171" s="42"/>
    </row>
    <row r="172" spans="6:6" x14ac:dyDescent="0.3">
      <c r="F172" s="41"/>
    </row>
    <row r="173" spans="6:6" x14ac:dyDescent="0.3">
      <c r="F173" s="42"/>
    </row>
    <row r="174" spans="6:6" x14ac:dyDescent="0.3">
      <c r="F174" s="41"/>
    </row>
    <row r="175" spans="6:6" x14ac:dyDescent="0.3">
      <c r="F175" s="42"/>
    </row>
    <row r="179" spans="6:6" x14ac:dyDescent="0.3">
      <c r="F179" s="41"/>
    </row>
    <row r="180" spans="6:6" x14ac:dyDescent="0.3">
      <c r="F180" s="42"/>
    </row>
    <row r="181" spans="6:6" x14ac:dyDescent="0.3">
      <c r="F181" s="41"/>
    </row>
    <row r="182" spans="6:6" x14ac:dyDescent="0.3">
      <c r="F182" s="42"/>
    </row>
    <row r="183" spans="6:6" x14ac:dyDescent="0.3">
      <c r="F183" s="41"/>
    </row>
    <row r="184" spans="6:6" x14ac:dyDescent="0.3">
      <c r="F184" s="42"/>
    </row>
    <row r="188" spans="6:6" x14ac:dyDescent="0.3">
      <c r="F188" s="41"/>
    </row>
    <row r="189" spans="6:6" x14ac:dyDescent="0.3">
      <c r="F189" s="42"/>
    </row>
    <row r="190" spans="6:6" x14ac:dyDescent="0.3">
      <c r="F190" s="41"/>
    </row>
    <row r="191" spans="6:6" x14ac:dyDescent="0.3">
      <c r="F191" s="42"/>
    </row>
    <row r="192" spans="6:6" x14ac:dyDescent="0.3">
      <c r="F192" s="41"/>
    </row>
    <row r="193" spans="6:6" x14ac:dyDescent="0.3">
      <c r="F193" s="42"/>
    </row>
    <row r="197" spans="6:6" x14ac:dyDescent="0.3">
      <c r="F197" s="41"/>
    </row>
    <row r="198" spans="6:6" x14ac:dyDescent="0.3">
      <c r="F198" s="42"/>
    </row>
    <row r="199" spans="6:6" x14ac:dyDescent="0.3">
      <c r="F199" s="41"/>
    </row>
    <row r="200" spans="6:6" x14ac:dyDescent="0.3">
      <c r="F200" s="42"/>
    </row>
    <row r="201" spans="6:6" x14ac:dyDescent="0.3">
      <c r="F201" s="41"/>
    </row>
    <row r="202" spans="6:6" x14ac:dyDescent="0.3">
      <c r="F202" s="42"/>
    </row>
    <row r="206" spans="6:6" x14ac:dyDescent="0.3">
      <c r="F206" s="41"/>
    </row>
    <row r="207" spans="6:6" x14ac:dyDescent="0.3">
      <c r="F207" s="42"/>
    </row>
    <row r="208" spans="6:6" x14ac:dyDescent="0.3">
      <c r="F208" s="41"/>
    </row>
    <row r="209" spans="6:6" x14ac:dyDescent="0.3">
      <c r="F209" s="42"/>
    </row>
    <row r="210" spans="6:6" x14ac:dyDescent="0.3">
      <c r="F210" s="41"/>
    </row>
    <row r="211" spans="6:6" x14ac:dyDescent="0.3">
      <c r="F211" s="42"/>
    </row>
    <row r="215" spans="6:6" x14ac:dyDescent="0.3">
      <c r="F215" s="41"/>
    </row>
    <row r="216" spans="6:6" x14ac:dyDescent="0.3">
      <c r="F216" s="42"/>
    </row>
    <row r="217" spans="6:6" x14ac:dyDescent="0.3">
      <c r="F217" s="41"/>
    </row>
    <row r="218" spans="6:6" x14ac:dyDescent="0.3">
      <c r="F218" s="42"/>
    </row>
    <row r="219" spans="6:6" x14ac:dyDescent="0.3">
      <c r="F219" s="41"/>
    </row>
    <row r="220" spans="6:6" x14ac:dyDescent="0.3">
      <c r="F220" s="42"/>
    </row>
    <row r="224" spans="6:6" x14ac:dyDescent="0.3">
      <c r="F224" s="41"/>
    </row>
    <row r="225" spans="6:6" x14ac:dyDescent="0.3">
      <c r="F225" s="42"/>
    </row>
    <row r="226" spans="6:6" x14ac:dyDescent="0.3">
      <c r="F226" s="41"/>
    </row>
    <row r="227" spans="6:6" x14ac:dyDescent="0.3">
      <c r="F227" s="42"/>
    </row>
    <row r="228" spans="6:6" x14ac:dyDescent="0.3">
      <c r="F228" s="41"/>
    </row>
    <row r="229" spans="6:6" x14ac:dyDescent="0.3">
      <c r="F229" s="42"/>
    </row>
    <row r="233" spans="6:6" x14ac:dyDescent="0.3">
      <c r="F233" s="41"/>
    </row>
    <row r="234" spans="6:6" x14ac:dyDescent="0.3">
      <c r="F234" s="42"/>
    </row>
    <row r="235" spans="6:6" x14ac:dyDescent="0.3">
      <c r="F235" s="41"/>
    </row>
    <row r="236" spans="6:6" x14ac:dyDescent="0.3">
      <c r="F236" s="42"/>
    </row>
    <row r="237" spans="6:6" x14ac:dyDescent="0.3">
      <c r="F237" s="41"/>
    </row>
    <row r="238" spans="6:6" x14ac:dyDescent="0.3">
      <c r="F238" s="42"/>
    </row>
    <row r="239" spans="6:6" x14ac:dyDescent="0.3">
      <c r="F239" s="41"/>
    </row>
    <row r="240" spans="6:6" x14ac:dyDescent="0.3">
      <c r="F240" s="43"/>
    </row>
    <row r="241" spans="6:6" x14ac:dyDescent="0.3">
      <c r="F241" s="41"/>
    </row>
    <row r="242" spans="6:6" x14ac:dyDescent="0.3">
      <c r="F242" s="43"/>
    </row>
    <row r="243" spans="6:6" x14ac:dyDescent="0.3">
      <c r="F243" s="41"/>
    </row>
    <row r="244" spans="6:6" x14ac:dyDescent="0.3">
      <c r="F244" s="43"/>
    </row>
  </sheetData>
  <sortState xmlns:xlrd2="http://schemas.microsoft.com/office/spreadsheetml/2017/richdata2" ref="A2:A10">
    <sortCondition ref="A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E1048561"/>
  <sheetViews>
    <sheetView showGridLines="0" zoomScaleNormal="100" workbookViewId="0">
      <selection sqref="A1:D1"/>
    </sheetView>
  </sheetViews>
  <sheetFormatPr defaultColWidth="0" defaultRowHeight="14.4" zeroHeight="1" x14ac:dyDescent="0.3"/>
  <cols>
    <col min="1" max="1" width="16.6640625" customWidth="1"/>
    <col min="2" max="2" width="21.44140625" customWidth="1"/>
    <col min="3" max="3" width="22.109375" customWidth="1"/>
    <col min="4" max="4" width="23.6640625" customWidth="1"/>
    <col min="5" max="5" width="3" customWidth="1"/>
    <col min="6" max="16384" width="9.109375" hidden="1"/>
  </cols>
  <sheetData>
    <row r="1" spans="1:4" ht="72.75" customHeight="1" x14ac:dyDescent="0.3">
      <c r="A1" s="296" t="s">
        <v>103</v>
      </c>
      <c r="B1" s="297"/>
      <c r="C1" s="297"/>
      <c r="D1" s="297"/>
    </row>
    <row r="2" spans="1:4" x14ac:dyDescent="0.3">
      <c r="A2" s="21" t="s">
        <v>23</v>
      </c>
      <c r="B2" s="298"/>
      <c r="C2" s="298"/>
      <c r="D2" s="38"/>
    </row>
    <row r="3" spans="1:4" x14ac:dyDescent="0.3">
      <c r="A3" s="21" t="s">
        <v>58</v>
      </c>
      <c r="B3" s="63"/>
      <c r="C3" s="63"/>
      <c r="D3" s="39"/>
    </row>
    <row r="4" spans="1:4" x14ac:dyDescent="0.3">
      <c r="A4" s="21" t="s">
        <v>57</v>
      </c>
      <c r="B4" s="299"/>
      <c r="C4" s="299"/>
      <c r="D4" s="40"/>
    </row>
    <row r="5" spans="1:4" x14ac:dyDescent="0.3"/>
    <row r="6" spans="1:4" x14ac:dyDescent="0.3"/>
    <row r="7" spans="1:4" ht="15" thickBot="1" x14ac:dyDescent="0.35"/>
    <row r="8" spans="1:4" ht="15" thickBot="1" x14ac:dyDescent="0.35">
      <c r="B8" s="294" t="s">
        <v>112</v>
      </c>
      <c r="C8" s="295"/>
    </row>
    <row r="9" spans="1:4" x14ac:dyDescent="0.3">
      <c r="B9" s="29" t="s">
        <v>31</v>
      </c>
      <c r="C9" s="61"/>
    </row>
    <row r="10" spans="1:4" x14ac:dyDescent="0.3">
      <c r="B10" s="30" t="s">
        <v>32</v>
      </c>
      <c r="C10" s="64"/>
    </row>
    <row r="11" spans="1:4" x14ac:dyDescent="0.3">
      <c r="B11" s="44" t="s">
        <v>77</v>
      </c>
      <c r="C11" s="65"/>
    </row>
    <row r="12" spans="1:4" ht="28.8" x14ac:dyDescent="0.3">
      <c r="B12" s="31" t="s">
        <v>35</v>
      </c>
      <c r="C12" s="47" t="e">
        <f>VLOOKUP(C11,'functional classifications'!A2:B11,2,TRUE)</f>
        <v>#N/A</v>
      </c>
    </row>
    <row r="13" spans="1:4" x14ac:dyDescent="0.3">
      <c r="B13" s="32" t="s">
        <v>66</v>
      </c>
      <c r="C13" s="62"/>
    </row>
    <row r="14" spans="1:4" x14ac:dyDescent="0.3">
      <c r="B14" s="32" t="s">
        <v>65</v>
      </c>
      <c r="C14" s="62"/>
    </row>
    <row r="15" spans="1:4" ht="15" thickBot="1" x14ac:dyDescent="0.35">
      <c r="B15" s="33" t="s">
        <v>134</v>
      </c>
      <c r="C15" s="121"/>
    </row>
    <row r="16" spans="1:4" ht="15" thickBot="1" x14ac:dyDescent="0.35">
      <c r="B16" s="33" t="s">
        <v>135</v>
      </c>
      <c r="C16" s="120" t="e">
        <f>C15*C12*C9</f>
        <v>#N/A</v>
      </c>
    </row>
    <row r="17" x14ac:dyDescent="0.3"/>
    <row r="1048561" x14ac:dyDescent="0.3"/>
  </sheetData>
  <sheetProtection algorithmName="SHA-512" hashValue="25NDVvK59kCpjlB1fKs/FNDm8O8KkWbxNUL9GGmqTGCc90iOJ8GNsdsjasUyf90YdEfU6shO+++sDdDtrPKcIQ==" saltValue="HBcmFQJwQjqqZlgmpcO/9A==" spinCount="100000" sheet="1" objects="1" scenarios="1"/>
  <mergeCells count="4">
    <mergeCell ref="A1:D1"/>
    <mergeCell ref="B8:C8"/>
    <mergeCell ref="B2:C2"/>
    <mergeCell ref="B4:C4"/>
  </mergeCells>
  <pageMargins left="0.7" right="0.7" top="0.75" bottom="0.75" header="0.3" footer="0.3"/>
  <pageSetup orientation="portrait" r:id="rId1"/>
  <headerFooter>
    <oddFooter>&amp;RPublish Date: Feb. 2021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'functional classifications'!$A$2:$A$11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78DB-8EA1-4AF5-9141-A14DBFF785AD}">
  <sheetPr codeName="Sheet3">
    <tabColor rgb="FFFFC000"/>
    <pageSetUpPr fitToPage="1"/>
  </sheetPr>
  <dimension ref="A1:AA48"/>
  <sheetViews>
    <sheetView zoomScaleNormal="100" workbookViewId="0">
      <selection activeCell="A14" sqref="A14:A20"/>
    </sheetView>
  </sheetViews>
  <sheetFormatPr defaultColWidth="9.109375" defaultRowHeight="14.4" zeroHeight="1" x14ac:dyDescent="0.3"/>
  <cols>
    <col min="1" max="1" width="35.5546875" style="272" customWidth="1"/>
    <col min="2" max="5" width="8.6640625" style="272" customWidth="1"/>
    <col min="6" max="6" width="9.44140625" style="272" customWidth="1"/>
    <col min="7" max="7" width="10.109375" style="272" customWidth="1"/>
    <col min="8" max="9" width="8.6640625" style="272" customWidth="1"/>
    <col min="10" max="10" width="11.6640625" style="272" customWidth="1"/>
    <col min="11" max="11" width="9.44140625" style="272" customWidth="1"/>
    <col min="12" max="12" width="7.6640625" style="272" bestFit="1" customWidth="1"/>
    <col min="13" max="15" width="9.109375" style="272"/>
    <col min="16" max="17" width="9.109375" style="272" customWidth="1"/>
    <col min="18" max="18" width="10" style="272" customWidth="1"/>
    <col min="19" max="19" width="10.109375" style="272" customWidth="1"/>
    <col min="20" max="27" width="9.109375" style="104"/>
    <col min="16384" max="16384" width="9.6640625" customWidth="1"/>
  </cols>
  <sheetData>
    <row r="1" spans="1:19" ht="30" customHeight="1" x14ac:dyDescent="0.3">
      <c r="A1" s="351" t="s">
        <v>133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9" x14ac:dyDescent="0.3">
      <c r="A2" s="352" t="str">
        <f>"Corridor:  "&amp;'Corridor Information'!B2</f>
        <v xml:space="preserve">Corridor:  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9" x14ac:dyDescent="0.3">
      <c r="B3" s="362" t="s">
        <v>115</v>
      </c>
      <c r="C3" s="362"/>
      <c r="D3" s="363" t="s">
        <v>152</v>
      </c>
      <c r="E3" s="364"/>
      <c r="F3" s="364"/>
      <c r="G3" s="364"/>
      <c r="H3" s="364"/>
      <c r="I3" s="364"/>
      <c r="J3" s="364"/>
    </row>
    <row r="4" spans="1:19" x14ac:dyDescent="0.3">
      <c r="B4" s="263" t="s">
        <v>143</v>
      </c>
      <c r="C4" s="263"/>
      <c r="D4" s="365" t="s">
        <v>156</v>
      </c>
      <c r="E4" s="365"/>
      <c r="F4" s="365"/>
      <c r="G4" s="365"/>
      <c r="H4" s="365"/>
      <c r="I4" s="365"/>
      <c r="J4" s="365"/>
    </row>
    <row r="5" spans="1:19" x14ac:dyDescent="0.3">
      <c r="B5" s="263" t="s">
        <v>144</v>
      </c>
      <c r="C5" s="263"/>
      <c r="D5" s="365" t="s">
        <v>156</v>
      </c>
      <c r="E5" s="365"/>
      <c r="F5" s="365"/>
      <c r="G5" s="365"/>
      <c r="H5" s="365"/>
      <c r="I5" s="365"/>
      <c r="J5" s="365"/>
    </row>
    <row r="6" spans="1:19" x14ac:dyDescent="0.3">
      <c r="B6" s="327" t="s">
        <v>116</v>
      </c>
      <c r="C6" s="327"/>
      <c r="D6" s="276">
        <v>0</v>
      </c>
      <c r="F6" s="334" t="s">
        <v>139</v>
      </c>
      <c r="G6" s="334"/>
      <c r="H6" s="276">
        <v>0</v>
      </c>
    </row>
    <row r="7" spans="1:19" x14ac:dyDescent="0.3">
      <c r="B7" s="328" t="s">
        <v>117</v>
      </c>
      <c r="C7" s="328"/>
      <c r="D7" s="275">
        <v>0</v>
      </c>
      <c r="F7" s="335" t="s">
        <v>140</v>
      </c>
      <c r="G7" s="335"/>
      <c r="H7" s="275">
        <v>0</v>
      </c>
    </row>
    <row r="8" spans="1:19" ht="15" customHeight="1" x14ac:dyDescent="0.3">
      <c r="B8" s="329" t="s">
        <v>118</v>
      </c>
      <c r="C8" s="329"/>
      <c r="D8" s="275">
        <v>0</v>
      </c>
      <c r="F8" s="336" t="s">
        <v>141</v>
      </c>
      <c r="G8" s="336"/>
      <c r="H8" s="275">
        <v>0</v>
      </c>
      <c r="K8" s="302" t="s">
        <v>142</v>
      </c>
      <c r="L8" s="302"/>
      <c r="M8" s="302"/>
      <c r="N8" s="302"/>
      <c r="O8" s="302"/>
      <c r="P8" s="302"/>
      <c r="Q8" s="302"/>
      <c r="R8" s="302"/>
      <c r="S8" s="302"/>
    </row>
    <row r="9" spans="1:19" ht="15.75" customHeight="1" thickBot="1" x14ac:dyDescent="0.35">
      <c r="K9" s="303"/>
      <c r="L9" s="303"/>
      <c r="M9" s="303"/>
      <c r="N9" s="303"/>
      <c r="O9" s="303"/>
      <c r="P9" s="303"/>
      <c r="Q9" s="303"/>
      <c r="R9" s="303"/>
      <c r="S9" s="303"/>
    </row>
    <row r="10" spans="1:19" ht="15" thickBot="1" x14ac:dyDescent="0.35">
      <c r="B10" s="304" t="s">
        <v>122</v>
      </c>
      <c r="C10" s="305"/>
      <c r="D10" s="305"/>
      <c r="E10" s="305"/>
      <c r="F10" s="305"/>
      <c r="G10" s="305"/>
      <c r="H10" s="305"/>
      <c r="I10" s="305"/>
      <c r="J10" s="306"/>
      <c r="K10" s="304" t="s">
        <v>122</v>
      </c>
      <c r="L10" s="305"/>
      <c r="M10" s="305"/>
      <c r="N10" s="305"/>
      <c r="O10" s="305"/>
      <c r="P10" s="305"/>
      <c r="Q10" s="305"/>
      <c r="R10" s="305"/>
      <c r="S10" s="306"/>
    </row>
    <row r="11" spans="1:19" ht="15" thickBot="1" x14ac:dyDescent="0.35">
      <c r="A11" s="359" t="s">
        <v>151</v>
      </c>
      <c r="B11" s="340" t="s">
        <v>25</v>
      </c>
      <c r="C11" s="341"/>
      <c r="D11" s="342"/>
      <c r="E11" s="343" t="s">
        <v>26</v>
      </c>
      <c r="F11" s="344"/>
      <c r="G11" s="345"/>
      <c r="H11" s="346" t="s">
        <v>27</v>
      </c>
      <c r="I11" s="347"/>
      <c r="J11" s="348"/>
      <c r="K11" s="307" t="s">
        <v>136</v>
      </c>
      <c r="L11" s="308"/>
      <c r="M11" s="309"/>
      <c r="N11" s="310" t="s">
        <v>137</v>
      </c>
      <c r="O11" s="311"/>
      <c r="P11" s="312"/>
      <c r="Q11" s="313" t="s">
        <v>138</v>
      </c>
      <c r="R11" s="314"/>
      <c r="S11" s="315"/>
    </row>
    <row r="12" spans="1:19" ht="15" thickBot="1" x14ac:dyDescent="0.35">
      <c r="A12" s="360"/>
      <c r="B12" s="353" t="s">
        <v>119</v>
      </c>
      <c r="C12" s="330" t="s">
        <v>120</v>
      </c>
      <c r="D12" s="331"/>
      <c r="E12" s="357" t="s">
        <v>119</v>
      </c>
      <c r="F12" s="332" t="s">
        <v>120</v>
      </c>
      <c r="G12" s="333"/>
      <c r="H12" s="355" t="s">
        <v>119</v>
      </c>
      <c r="I12" s="349" t="s">
        <v>120</v>
      </c>
      <c r="J12" s="350"/>
      <c r="K12" s="318" t="s">
        <v>119</v>
      </c>
      <c r="L12" s="320" t="s">
        <v>120</v>
      </c>
      <c r="M12" s="321"/>
      <c r="N12" s="322" t="s">
        <v>119</v>
      </c>
      <c r="O12" s="324" t="s">
        <v>120</v>
      </c>
      <c r="P12" s="325"/>
      <c r="Q12" s="300" t="s">
        <v>119</v>
      </c>
      <c r="R12" s="316" t="s">
        <v>120</v>
      </c>
      <c r="S12" s="317"/>
    </row>
    <row r="13" spans="1:19" ht="15" thickBot="1" x14ac:dyDescent="0.35">
      <c r="A13" s="361"/>
      <c r="B13" s="354"/>
      <c r="C13" s="70" t="s">
        <v>121</v>
      </c>
      <c r="D13" s="70" t="s">
        <v>114</v>
      </c>
      <c r="E13" s="358"/>
      <c r="F13" s="84" t="s">
        <v>121</v>
      </c>
      <c r="G13" s="84" t="s">
        <v>114</v>
      </c>
      <c r="H13" s="356"/>
      <c r="I13" s="72" t="s">
        <v>121</v>
      </c>
      <c r="J13" s="72" t="s">
        <v>114</v>
      </c>
      <c r="K13" s="319"/>
      <c r="L13" s="89" t="s">
        <v>121</v>
      </c>
      <c r="M13" s="89" t="s">
        <v>114</v>
      </c>
      <c r="N13" s="323"/>
      <c r="O13" s="94" t="s">
        <v>121</v>
      </c>
      <c r="P13" s="94" t="s">
        <v>114</v>
      </c>
      <c r="Q13" s="301"/>
      <c r="R13" s="99" t="s">
        <v>121</v>
      </c>
      <c r="S13" s="99" t="s">
        <v>114</v>
      </c>
    </row>
    <row r="14" spans="1:19" ht="15" customHeight="1" x14ac:dyDescent="0.3">
      <c r="A14" s="337" t="s">
        <v>154</v>
      </c>
      <c r="B14" s="74">
        <f>D6</f>
        <v>0</v>
      </c>
      <c r="C14" s="123"/>
      <c r="D14" s="125"/>
      <c r="E14" s="77">
        <f>D7</f>
        <v>0</v>
      </c>
      <c r="F14" s="147"/>
      <c r="G14" s="150"/>
      <c r="H14" s="79">
        <f>D8</f>
        <v>0</v>
      </c>
      <c r="I14" s="153"/>
      <c r="J14" s="156"/>
      <c r="K14" s="90">
        <f>H6</f>
        <v>0</v>
      </c>
      <c r="L14" s="159"/>
      <c r="M14" s="168"/>
      <c r="N14" s="95">
        <f>H7</f>
        <v>0</v>
      </c>
      <c r="O14" s="165"/>
      <c r="P14" s="170"/>
      <c r="Q14" s="100">
        <f>H8</f>
        <v>0</v>
      </c>
      <c r="R14" s="162"/>
      <c r="S14" s="169"/>
    </row>
    <row r="15" spans="1:19" ht="15" customHeight="1" x14ac:dyDescent="0.3">
      <c r="A15" s="338"/>
      <c r="B15" s="75">
        <f>B14+TIME(0,15,0)</f>
        <v>1.0416666666666666E-2</v>
      </c>
      <c r="C15" s="124"/>
      <c r="D15" s="126"/>
      <c r="E15" s="73">
        <f>E14+TIME(0,15,0)</f>
        <v>1.0416666666666666E-2</v>
      </c>
      <c r="F15" s="148"/>
      <c r="G15" s="151"/>
      <c r="H15" s="80">
        <f>H14+TIME(0,15,0)</f>
        <v>1.0416666666666666E-2</v>
      </c>
      <c r="I15" s="154"/>
      <c r="J15" s="157"/>
      <c r="K15" s="91">
        <f>K14+TIME(0,15,0)</f>
        <v>1.0416666666666666E-2</v>
      </c>
      <c r="L15" s="160"/>
      <c r="M15" s="160"/>
      <c r="N15" s="96">
        <f>N14+TIME(0,15,0)</f>
        <v>1.0416666666666666E-2</v>
      </c>
      <c r="O15" s="166"/>
      <c r="P15" s="97"/>
      <c r="Q15" s="101">
        <f>Q14+TIME(0,15,0)</f>
        <v>1.0416666666666666E-2</v>
      </c>
      <c r="R15" s="163"/>
      <c r="S15" s="102"/>
    </row>
    <row r="16" spans="1:19" ht="15" customHeight="1" x14ac:dyDescent="0.3">
      <c r="A16" s="338"/>
      <c r="B16" s="75">
        <f t="shared" ref="B16:B20" si="0">B15+TIME(0,15,0)</f>
        <v>2.0833333333333332E-2</v>
      </c>
      <c r="C16" s="124"/>
      <c r="D16" s="126"/>
      <c r="E16" s="73">
        <f t="shared" ref="E16:E20" si="1">E15+TIME(0,15,0)</f>
        <v>2.0833333333333332E-2</v>
      </c>
      <c r="F16" s="148"/>
      <c r="G16" s="151"/>
      <c r="H16" s="80">
        <f t="shared" ref="H16:H20" si="2">H15+TIME(0,15,0)</f>
        <v>2.0833333333333332E-2</v>
      </c>
      <c r="I16" s="154"/>
      <c r="J16" s="157"/>
      <c r="K16" s="91">
        <f t="shared" ref="K16:K20" si="3">K15+TIME(0,15,0)</f>
        <v>2.0833333333333332E-2</v>
      </c>
      <c r="L16" s="160"/>
      <c r="M16" s="160"/>
      <c r="N16" s="96">
        <f t="shared" ref="N16:N20" si="4">N15+TIME(0,15,0)</f>
        <v>2.0833333333333332E-2</v>
      </c>
      <c r="O16" s="166"/>
      <c r="P16" s="97"/>
      <c r="Q16" s="101">
        <f t="shared" ref="Q16:Q20" si="5">Q15+TIME(0,15,0)</f>
        <v>2.0833333333333332E-2</v>
      </c>
      <c r="R16" s="163"/>
      <c r="S16" s="102"/>
    </row>
    <row r="17" spans="1:19" ht="15" customHeight="1" x14ac:dyDescent="0.3">
      <c r="A17" s="338"/>
      <c r="B17" s="75">
        <f t="shared" si="0"/>
        <v>3.125E-2</v>
      </c>
      <c r="C17" s="124"/>
      <c r="D17" s="126"/>
      <c r="E17" s="73">
        <f t="shared" si="1"/>
        <v>3.125E-2</v>
      </c>
      <c r="F17" s="148"/>
      <c r="G17" s="151"/>
      <c r="H17" s="80">
        <f t="shared" si="2"/>
        <v>3.125E-2</v>
      </c>
      <c r="I17" s="154"/>
      <c r="J17" s="157"/>
      <c r="K17" s="91">
        <f t="shared" si="3"/>
        <v>3.125E-2</v>
      </c>
      <c r="L17" s="160"/>
      <c r="M17" s="160"/>
      <c r="N17" s="96">
        <f t="shared" si="4"/>
        <v>3.125E-2</v>
      </c>
      <c r="O17" s="166"/>
      <c r="P17" s="97"/>
      <c r="Q17" s="101">
        <f t="shared" si="5"/>
        <v>3.125E-2</v>
      </c>
      <c r="R17" s="163"/>
      <c r="S17" s="102"/>
    </row>
    <row r="18" spans="1:19" ht="15" customHeight="1" x14ac:dyDescent="0.3">
      <c r="A18" s="338"/>
      <c r="B18" s="75">
        <f t="shared" si="0"/>
        <v>4.1666666666666664E-2</v>
      </c>
      <c r="C18" s="124"/>
      <c r="D18" s="126"/>
      <c r="E18" s="73">
        <f t="shared" si="1"/>
        <v>4.1666666666666664E-2</v>
      </c>
      <c r="F18" s="148"/>
      <c r="G18" s="151"/>
      <c r="H18" s="80">
        <f t="shared" si="2"/>
        <v>4.1666666666666664E-2</v>
      </c>
      <c r="I18" s="154"/>
      <c r="J18" s="157"/>
      <c r="K18" s="91">
        <f t="shared" si="3"/>
        <v>4.1666666666666664E-2</v>
      </c>
      <c r="L18" s="160"/>
      <c r="M18" s="92"/>
      <c r="N18" s="96">
        <f t="shared" si="4"/>
        <v>4.1666666666666664E-2</v>
      </c>
      <c r="O18" s="166"/>
      <c r="P18" s="97"/>
      <c r="Q18" s="101">
        <f t="shared" si="5"/>
        <v>4.1666666666666664E-2</v>
      </c>
      <c r="R18" s="163"/>
      <c r="S18" s="102"/>
    </row>
    <row r="19" spans="1:19" ht="15" customHeight="1" x14ac:dyDescent="0.3">
      <c r="A19" s="338"/>
      <c r="B19" s="75">
        <f t="shared" si="0"/>
        <v>5.2083333333333329E-2</v>
      </c>
      <c r="C19" s="124"/>
      <c r="D19" s="126"/>
      <c r="E19" s="73">
        <f t="shared" si="1"/>
        <v>5.2083333333333329E-2</v>
      </c>
      <c r="F19" s="148"/>
      <c r="G19" s="151"/>
      <c r="H19" s="80">
        <f t="shared" si="2"/>
        <v>5.2083333333333329E-2</v>
      </c>
      <c r="I19" s="154"/>
      <c r="J19" s="157"/>
      <c r="K19" s="91">
        <f t="shared" si="3"/>
        <v>5.2083333333333329E-2</v>
      </c>
      <c r="L19" s="160"/>
      <c r="M19" s="92"/>
      <c r="N19" s="96">
        <f t="shared" si="4"/>
        <v>5.2083333333333329E-2</v>
      </c>
      <c r="O19" s="166"/>
      <c r="P19" s="97"/>
      <c r="Q19" s="101">
        <f t="shared" si="5"/>
        <v>5.2083333333333329E-2</v>
      </c>
      <c r="R19" s="163"/>
      <c r="S19" s="102"/>
    </row>
    <row r="20" spans="1:19" ht="15" customHeight="1" thickBot="1" x14ac:dyDescent="0.35">
      <c r="A20" s="338"/>
      <c r="B20" s="127">
        <f t="shared" si="0"/>
        <v>6.2499999999999993E-2</v>
      </c>
      <c r="C20" s="128"/>
      <c r="D20" s="129"/>
      <c r="E20" s="130">
        <f t="shared" si="1"/>
        <v>6.2499999999999993E-2</v>
      </c>
      <c r="F20" s="149"/>
      <c r="G20" s="152"/>
      <c r="H20" s="131">
        <f t="shared" si="2"/>
        <v>6.2499999999999993E-2</v>
      </c>
      <c r="I20" s="155"/>
      <c r="J20" s="158"/>
      <c r="K20" s="132">
        <f t="shared" si="3"/>
        <v>6.2499999999999993E-2</v>
      </c>
      <c r="L20" s="161"/>
      <c r="M20" s="133"/>
      <c r="N20" s="134">
        <f t="shared" si="4"/>
        <v>6.2499999999999993E-2</v>
      </c>
      <c r="O20" s="167"/>
      <c r="P20" s="167"/>
      <c r="Q20" s="135">
        <f t="shared" si="5"/>
        <v>6.2499999999999993E-2</v>
      </c>
      <c r="R20" s="164"/>
      <c r="S20" s="136"/>
    </row>
    <row r="21" spans="1:19" ht="15" customHeight="1" thickBot="1" x14ac:dyDescent="0.35">
      <c r="A21" s="143"/>
      <c r="B21" s="144"/>
      <c r="C21" s="145"/>
      <c r="D21" s="145"/>
      <c r="E21" s="122"/>
      <c r="F21" s="145"/>
      <c r="G21" s="145"/>
      <c r="H21" s="122"/>
      <c r="I21" s="145"/>
      <c r="J21" s="145"/>
      <c r="K21" s="122"/>
      <c r="L21" s="145"/>
      <c r="M21" s="145"/>
      <c r="N21" s="122"/>
      <c r="O21" s="145"/>
      <c r="P21" s="145"/>
      <c r="Q21" s="122"/>
      <c r="R21" s="145"/>
      <c r="S21" s="146"/>
    </row>
    <row r="22" spans="1:19" ht="15" customHeight="1" x14ac:dyDescent="0.3">
      <c r="A22" s="337" t="s">
        <v>155</v>
      </c>
      <c r="B22" s="137">
        <f>D6</f>
        <v>0</v>
      </c>
      <c r="C22" s="82"/>
      <c r="D22" s="82"/>
      <c r="E22" s="138">
        <f>D7</f>
        <v>0</v>
      </c>
      <c r="F22" s="85"/>
      <c r="G22" s="85"/>
      <c r="H22" s="139">
        <f>D8</f>
        <v>0</v>
      </c>
      <c r="I22" s="87"/>
      <c r="J22" s="87"/>
      <c r="K22" s="140">
        <f>H6</f>
        <v>0</v>
      </c>
      <c r="L22" s="159"/>
      <c r="M22" s="168"/>
      <c r="N22" s="141">
        <f>H7</f>
        <v>0</v>
      </c>
      <c r="O22" s="165"/>
      <c r="P22" s="170"/>
      <c r="Q22" s="142">
        <f>H8</f>
        <v>0</v>
      </c>
      <c r="R22" s="162"/>
      <c r="S22" s="169"/>
    </row>
    <row r="23" spans="1:19" ht="15" customHeight="1" x14ac:dyDescent="0.3">
      <c r="A23" s="338"/>
      <c r="B23" s="75">
        <f>B22+TIME(0,15,0)</f>
        <v>1.0416666666666666E-2</v>
      </c>
      <c r="C23" s="83"/>
      <c r="D23" s="83"/>
      <c r="E23" s="73">
        <f>E22+TIME(0,15,0)</f>
        <v>1.0416666666666666E-2</v>
      </c>
      <c r="F23" s="86"/>
      <c r="G23" s="86"/>
      <c r="H23" s="80">
        <f>H22+TIME(0,15,0)</f>
        <v>1.0416666666666666E-2</v>
      </c>
      <c r="I23" s="88"/>
      <c r="J23" s="88"/>
      <c r="K23" s="91">
        <f>K22+TIME(0,15,0)</f>
        <v>1.0416666666666666E-2</v>
      </c>
      <c r="L23" s="160"/>
      <c r="M23" s="160"/>
      <c r="N23" s="96">
        <f>N22+TIME(0,15,0)</f>
        <v>1.0416666666666666E-2</v>
      </c>
      <c r="O23" s="166"/>
      <c r="P23" s="166"/>
      <c r="Q23" s="101">
        <f>Q22+TIME(0,15,0)</f>
        <v>1.0416666666666666E-2</v>
      </c>
      <c r="R23" s="163"/>
      <c r="S23" s="102"/>
    </row>
    <row r="24" spans="1:19" ht="15" customHeight="1" x14ac:dyDescent="0.3">
      <c r="A24" s="338"/>
      <c r="B24" s="75">
        <f t="shared" ref="B24:B28" si="6">B23+TIME(0,15,0)</f>
        <v>2.0833333333333332E-2</v>
      </c>
      <c r="C24" s="83"/>
      <c r="D24" s="83"/>
      <c r="E24" s="73">
        <f t="shared" ref="E24:E28" si="7">E23+TIME(0,15,0)</f>
        <v>2.0833333333333332E-2</v>
      </c>
      <c r="F24" s="86"/>
      <c r="G24" s="86"/>
      <c r="H24" s="80">
        <f t="shared" ref="H24:H28" si="8">H23+TIME(0,15,0)</f>
        <v>2.0833333333333332E-2</v>
      </c>
      <c r="I24" s="88"/>
      <c r="J24" s="88"/>
      <c r="K24" s="91">
        <f t="shared" ref="K24:K28" si="9">K23+TIME(0,15,0)</f>
        <v>2.0833333333333332E-2</v>
      </c>
      <c r="L24" s="160"/>
      <c r="M24" s="160"/>
      <c r="N24" s="96">
        <f t="shared" ref="N24:N28" si="10">N23+TIME(0,15,0)</f>
        <v>2.0833333333333332E-2</v>
      </c>
      <c r="O24" s="166"/>
      <c r="P24" s="166"/>
      <c r="Q24" s="101">
        <f t="shared" ref="Q24:Q28" si="11">Q23+TIME(0,15,0)</f>
        <v>2.0833333333333332E-2</v>
      </c>
      <c r="R24" s="163"/>
      <c r="S24" s="102"/>
    </row>
    <row r="25" spans="1:19" ht="15" customHeight="1" x14ac:dyDescent="0.3">
      <c r="A25" s="338"/>
      <c r="B25" s="75">
        <f t="shared" si="6"/>
        <v>3.125E-2</v>
      </c>
      <c r="C25" s="83"/>
      <c r="D25" s="83"/>
      <c r="E25" s="73">
        <f t="shared" si="7"/>
        <v>3.125E-2</v>
      </c>
      <c r="F25" s="86"/>
      <c r="G25" s="86"/>
      <c r="H25" s="80">
        <f t="shared" si="8"/>
        <v>3.125E-2</v>
      </c>
      <c r="I25" s="88"/>
      <c r="J25" s="88"/>
      <c r="K25" s="91">
        <f t="shared" si="9"/>
        <v>3.125E-2</v>
      </c>
      <c r="L25" s="160"/>
      <c r="M25" s="160"/>
      <c r="N25" s="96">
        <f t="shared" si="10"/>
        <v>3.125E-2</v>
      </c>
      <c r="O25" s="166"/>
      <c r="P25" s="166"/>
      <c r="Q25" s="101">
        <f t="shared" si="11"/>
        <v>3.125E-2</v>
      </c>
      <c r="R25" s="163"/>
      <c r="S25" s="102"/>
    </row>
    <row r="26" spans="1:19" ht="15" customHeight="1" x14ac:dyDescent="0.3">
      <c r="A26" s="338"/>
      <c r="B26" s="75">
        <f t="shared" si="6"/>
        <v>4.1666666666666664E-2</v>
      </c>
      <c r="C26" s="83"/>
      <c r="D26" s="83"/>
      <c r="E26" s="73">
        <f t="shared" si="7"/>
        <v>4.1666666666666664E-2</v>
      </c>
      <c r="F26" s="86"/>
      <c r="G26" s="86"/>
      <c r="H26" s="80">
        <f t="shared" si="8"/>
        <v>4.1666666666666664E-2</v>
      </c>
      <c r="I26" s="88"/>
      <c r="J26" s="88"/>
      <c r="K26" s="91">
        <f t="shared" si="9"/>
        <v>4.1666666666666664E-2</v>
      </c>
      <c r="L26" s="160"/>
      <c r="M26" s="160"/>
      <c r="N26" s="96">
        <f t="shared" si="10"/>
        <v>4.1666666666666664E-2</v>
      </c>
      <c r="O26" s="166"/>
      <c r="P26" s="166"/>
      <c r="Q26" s="101">
        <f t="shared" si="11"/>
        <v>4.1666666666666664E-2</v>
      </c>
      <c r="R26" s="163"/>
      <c r="S26" s="102"/>
    </row>
    <row r="27" spans="1:19" ht="15" customHeight="1" x14ac:dyDescent="0.3">
      <c r="A27" s="338"/>
      <c r="B27" s="75">
        <f t="shared" si="6"/>
        <v>5.2083333333333329E-2</v>
      </c>
      <c r="C27" s="83"/>
      <c r="D27" s="83"/>
      <c r="E27" s="73">
        <f t="shared" si="7"/>
        <v>5.2083333333333329E-2</v>
      </c>
      <c r="F27" s="86"/>
      <c r="G27" s="86"/>
      <c r="H27" s="80">
        <f t="shared" si="8"/>
        <v>5.2083333333333329E-2</v>
      </c>
      <c r="I27" s="88"/>
      <c r="J27" s="88"/>
      <c r="K27" s="91">
        <f t="shared" si="9"/>
        <v>5.2083333333333329E-2</v>
      </c>
      <c r="L27" s="160"/>
      <c r="M27" s="160"/>
      <c r="N27" s="96">
        <f t="shared" si="10"/>
        <v>5.2083333333333329E-2</v>
      </c>
      <c r="O27" s="166"/>
      <c r="P27" s="166"/>
      <c r="Q27" s="101">
        <f t="shared" si="11"/>
        <v>5.2083333333333329E-2</v>
      </c>
      <c r="R27" s="163"/>
      <c r="S27" s="102"/>
    </row>
    <row r="28" spans="1:19" ht="15" customHeight="1" thickBot="1" x14ac:dyDescent="0.35">
      <c r="A28" s="339"/>
      <c r="B28" s="76">
        <f t="shared" si="6"/>
        <v>6.2499999999999993E-2</v>
      </c>
      <c r="C28" s="171"/>
      <c r="D28" s="171"/>
      <c r="E28" s="78">
        <f t="shared" si="7"/>
        <v>6.2499999999999993E-2</v>
      </c>
      <c r="F28" s="172"/>
      <c r="G28" s="172"/>
      <c r="H28" s="81">
        <f t="shared" si="8"/>
        <v>6.2499999999999993E-2</v>
      </c>
      <c r="I28" s="173"/>
      <c r="J28" s="173"/>
      <c r="K28" s="93">
        <f t="shared" si="9"/>
        <v>6.2499999999999993E-2</v>
      </c>
      <c r="L28" s="174"/>
      <c r="M28" s="174"/>
      <c r="N28" s="98">
        <f t="shared" si="10"/>
        <v>6.2499999999999993E-2</v>
      </c>
      <c r="O28" s="175"/>
      <c r="P28" s="175"/>
      <c r="Q28" s="103">
        <f t="shared" si="11"/>
        <v>6.2499999999999993E-2</v>
      </c>
      <c r="R28" s="176"/>
      <c r="S28" s="177"/>
    </row>
    <row r="29" spans="1:19" ht="15" customHeight="1" x14ac:dyDescent="0.3"/>
    <row r="30" spans="1:19" ht="15" customHeight="1" thickBot="1" x14ac:dyDescent="0.35"/>
    <row r="31" spans="1:19" ht="15" customHeight="1" thickBot="1" x14ac:dyDescent="0.35">
      <c r="A31" s="181" t="s">
        <v>123</v>
      </c>
      <c r="B31" s="183"/>
      <c r="C31" s="188" t="e">
        <f>AVERAGE(C14:C20,C22:C28)</f>
        <v>#DIV/0!</v>
      </c>
      <c r="D31" s="188" t="e">
        <f>AVERAGE(D14:D20,D22:D28)</f>
        <v>#DIV/0!</v>
      </c>
      <c r="E31" s="184"/>
      <c r="F31" s="189" t="e">
        <f>AVERAGE(F14:F20,F22:F28)</f>
        <v>#DIV/0!</v>
      </c>
      <c r="G31" s="189" t="e">
        <f>AVERAGE(G14:G20,G22:G28)</f>
        <v>#DIV/0!</v>
      </c>
      <c r="H31" s="185"/>
      <c r="I31" s="190" t="e">
        <f>AVERAGE(I14:I20,I22:I28)</f>
        <v>#DIV/0!</v>
      </c>
      <c r="J31" s="190" t="e">
        <f>AVERAGE(J14:J20,J22:J28)</f>
        <v>#DIV/0!</v>
      </c>
      <c r="K31" s="186"/>
      <c r="L31" s="191" t="e">
        <f>AVERAGE(L14:L20,L22:L28)</f>
        <v>#DIV/0!</v>
      </c>
      <c r="M31" s="191" t="e">
        <f>AVERAGE(M14:M20,M22:M28)</f>
        <v>#DIV/0!</v>
      </c>
      <c r="N31" s="187"/>
      <c r="O31" s="192" t="e">
        <f>AVERAGE(O14:O20,O22:O28)</f>
        <v>#DIV/0!</v>
      </c>
      <c r="P31" s="192" t="e">
        <f>AVERAGE(P14:P20,P22:P28)</f>
        <v>#DIV/0!</v>
      </c>
      <c r="Q31" s="182"/>
      <c r="R31" s="193" t="e">
        <f>AVERAGE(R14:R20,R22:R28)</f>
        <v>#DIV/0!</v>
      </c>
      <c r="S31" s="193" t="e">
        <f>AVERAGE(S14:S20,S22:S28)</f>
        <v>#DIV/0!</v>
      </c>
    </row>
    <row r="32" spans="1:19" ht="15" customHeight="1" x14ac:dyDescent="0.3">
      <c r="A32" s="273"/>
      <c r="C32" s="326"/>
      <c r="D32" s="326"/>
      <c r="F32" s="326"/>
      <c r="G32" s="326"/>
      <c r="I32" s="326"/>
      <c r="J32" s="326"/>
    </row>
    <row r="33" spans="1:3" ht="15" customHeight="1" x14ac:dyDescent="0.3">
      <c r="A33" s="273"/>
    </row>
    <row r="34" spans="1:3" ht="15" customHeight="1" x14ac:dyDescent="0.3">
      <c r="C34" s="274"/>
    </row>
    <row r="35" spans="1:3" ht="31.5" customHeight="1" x14ac:dyDescent="0.3"/>
    <row r="36" spans="1:3" x14ac:dyDescent="0.3"/>
    <row r="37" spans="1:3" x14ac:dyDescent="0.3"/>
    <row r="38" spans="1:3" x14ac:dyDescent="0.3"/>
    <row r="39" spans="1:3" x14ac:dyDescent="0.3"/>
    <row r="40" spans="1:3" x14ac:dyDescent="0.3"/>
    <row r="41" spans="1:3" x14ac:dyDescent="0.3"/>
    <row r="42" spans="1:3" x14ac:dyDescent="0.3"/>
    <row r="43" spans="1:3" x14ac:dyDescent="0.3"/>
    <row r="44" spans="1:3" x14ac:dyDescent="0.3"/>
    <row r="45" spans="1:3" x14ac:dyDescent="0.3"/>
    <row r="46" spans="1:3" x14ac:dyDescent="0.3"/>
    <row r="47" spans="1:3" ht="6.75" customHeight="1" x14ac:dyDescent="0.3"/>
    <row r="48" spans="1:3" x14ac:dyDescent="0.3"/>
  </sheetData>
  <sheetProtection formatCells="0" formatColumns="0" formatRows="0" insertColumns="0" insertRows="0"/>
  <mergeCells count="39">
    <mergeCell ref="A1:J1"/>
    <mergeCell ref="A2:J2"/>
    <mergeCell ref="B10:J10"/>
    <mergeCell ref="B12:B13"/>
    <mergeCell ref="H12:H13"/>
    <mergeCell ref="E12:E13"/>
    <mergeCell ref="A11:A13"/>
    <mergeCell ref="B3:C3"/>
    <mergeCell ref="D3:J3"/>
    <mergeCell ref="D4:J4"/>
    <mergeCell ref="D5:J5"/>
    <mergeCell ref="A14:A20"/>
    <mergeCell ref="A22:A28"/>
    <mergeCell ref="B11:D11"/>
    <mergeCell ref="E11:G11"/>
    <mergeCell ref="H11:J11"/>
    <mergeCell ref="I12:J12"/>
    <mergeCell ref="C32:D32"/>
    <mergeCell ref="F32:G32"/>
    <mergeCell ref="I32:J32"/>
    <mergeCell ref="B6:C6"/>
    <mergeCell ref="B7:C7"/>
    <mergeCell ref="B8:C8"/>
    <mergeCell ref="C12:D12"/>
    <mergeCell ref="F12:G12"/>
    <mergeCell ref="F6:G6"/>
    <mergeCell ref="F7:G7"/>
    <mergeCell ref="F8:G8"/>
    <mergeCell ref="Q12:Q13"/>
    <mergeCell ref="K8:S9"/>
    <mergeCell ref="K10:S10"/>
    <mergeCell ref="K11:M11"/>
    <mergeCell ref="N11:P11"/>
    <mergeCell ref="Q11:S11"/>
    <mergeCell ref="R12:S12"/>
    <mergeCell ref="K12:K13"/>
    <mergeCell ref="L12:M12"/>
    <mergeCell ref="N12:N13"/>
    <mergeCell ref="O12:P12"/>
  </mergeCells>
  <hyperlinks>
    <hyperlink ref="D3" r:id="rId1" display="www.google.com" xr:uid="{8B2EA498-C90F-48E0-B551-4E2E2D571CAB}"/>
  </hyperlinks>
  <pageMargins left="0.7" right="0.7" top="0.75" bottom="0.75" header="0.3" footer="0.3"/>
  <pageSetup scale="61" orientation="landscape" r:id="rId2"/>
  <headerFooter>
    <oddFooter>&amp;RPublish Date: Feb. 2021</oddFooter>
  </headerFooter>
  <ignoredErrors>
    <ignoredError sqref="B22" formula="1"/>
    <ignoredError sqref="F31:G31 C31:D31 I31:J31 L31:M31 O31:P31 R31:S31" evalError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797EB3-1259-4442-A0CD-5AF23DE150BF}">
          <x14:formula1>
            <xm:f>Times!$A$1:$A$96</xm:f>
          </x14:formula1>
          <xm:sqref>H6:H8 D6:D8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1"/>
  </sheetPr>
  <dimension ref="A1:F39"/>
  <sheetViews>
    <sheetView zoomScaleNormal="100" workbookViewId="0">
      <selection activeCell="C19" sqref="C19"/>
    </sheetView>
  </sheetViews>
  <sheetFormatPr defaultColWidth="0" defaultRowHeight="14.4" zeroHeight="1" x14ac:dyDescent="0.3"/>
  <cols>
    <col min="1" max="1" width="6.109375" customWidth="1"/>
    <col min="2" max="2" width="34.88671875" customWidth="1"/>
    <col min="3" max="4" width="20.109375" customWidth="1"/>
    <col min="5" max="5" width="7.5546875" customWidth="1"/>
    <col min="6" max="6" width="4.6640625" hidden="1" customWidth="1"/>
    <col min="7" max="16384" width="9.109375" hidden="1"/>
  </cols>
  <sheetData>
    <row r="1" spans="1:5" ht="30" customHeight="1" x14ac:dyDescent="0.3">
      <c r="A1" s="366" t="s">
        <v>124</v>
      </c>
      <c r="B1" s="366"/>
      <c r="C1" s="366"/>
      <c r="D1" s="366"/>
      <c r="E1" s="366"/>
    </row>
    <row r="2" spans="1:5" x14ac:dyDescent="0.3">
      <c r="A2" s="367" t="str">
        <f>"Corridor:  "&amp;'Corridor Information'!B2</f>
        <v xml:space="preserve">Corridor:  </v>
      </c>
      <c r="B2" s="367"/>
      <c r="C2" s="367"/>
      <c r="D2" s="367"/>
      <c r="E2" s="367"/>
    </row>
    <row r="3" spans="1:5" ht="15" thickBot="1" x14ac:dyDescent="0.35"/>
    <row r="4" spans="1:5" ht="15" thickBot="1" x14ac:dyDescent="0.35">
      <c r="B4" s="294" t="s">
        <v>125</v>
      </c>
      <c r="C4" s="371"/>
      <c r="D4" s="295"/>
    </row>
    <row r="5" spans="1:5" ht="29.4" thickBot="1" x14ac:dyDescent="0.35">
      <c r="B5" s="17" t="s">
        <v>24</v>
      </c>
      <c r="C5" s="16" t="s">
        <v>29</v>
      </c>
      <c r="D5" s="6" t="s">
        <v>28</v>
      </c>
      <c r="E5" s="3"/>
    </row>
    <row r="6" spans="1:5" x14ac:dyDescent="0.3">
      <c r="B6" s="8" t="s">
        <v>25</v>
      </c>
      <c r="C6" s="178" t="e">
        <f>'INRIX Data - Travel Time'!C31</f>
        <v>#DIV/0!</v>
      </c>
      <c r="D6" s="251" t="e">
        <f>'INRIX Data - Travel Time'!D31</f>
        <v>#DIV/0!</v>
      </c>
    </row>
    <row r="7" spans="1:5" x14ac:dyDescent="0.3">
      <c r="B7" s="9" t="s">
        <v>26</v>
      </c>
      <c r="C7" s="179" t="e">
        <f>'INRIX Data - Travel Time'!F31</f>
        <v>#DIV/0!</v>
      </c>
      <c r="D7" s="180" t="e">
        <f>'INRIX Data - Travel Time'!G31</f>
        <v>#DIV/0!</v>
      </c>
    </row>
    <row r="8" spans="1:5" x14ac:dyDescent="0.3">
      <c r="B8" s="9" t="s">
        <v>27</v>
      </c>
      <c r="C8" s="179" t="e">
        <f>'INRIX Data - Travel Time'!I31</f>
        <v>#DIV/0!</v>
      </c>
      <c r="D8" s="180" t="e">
        <f>'INRIX Data - Travel Time'!J31</f>
        <v>#DIV/0!</v>
      </c>
    </row>
    <row r="9" spans="1:5" x14ac:dyDescent="0.3">
      <c r="B9" s="10" t="s">
        <v>126</v>
      </c>
      <c r="C9" s="7" t="str">
        <f>IFERROR(AVERAGE(C6:C8)*86400,"")</f>
        <v/>
      </c>
      <c r="D9" s="4" t="str">
        <f>IFERROR(AVERAGE(D6:D8)*86400,"")</f>
        <v/>
      </c>
    </row>
    <row r="10" spans="1:5" ht="15" thickBot="1" x14ac:dyDescent="0.35">
      <c r="B10" s="11" t="s">
        <v>47</v>
      </c>
      <c r="C10" s="369" t="str">
        <f>IFERROR((C9-D9)/3600,"")</f>
        <v/>
      </c>
      <c r="D10" s="370"/>
    </row>
    <row r="11" spans="1:5" ht="15" thickBot="1" x14ac:dyDescent="0.35"/>
    <row r="12" spans="1:5" ht="15" thickBot="1" x14ac:dyDescent="0.35">
      <c r="B12" s="294" t="s">
        <v>112</v>
      </c>
      <c r="C12" s="295"/>
    </row>
    <row r="13" spans="1:5" x14ac:dyDescent="0.3">
      <c r="B13" s="12" t="s">
        <v>31</v>
      </c>
      <c r="C13" s="22">
        <f>'Corridor Information'!C9</f>
        <v>0</v>
      </c>
    </row>
    <row r="14" spans="1:5" x14ac:dyDescent="0.3">
      <c r="B14" s="13" t="s">
        <v>32</v>
      </c>
      <c r="C14" s="58">
        <f>'Corridor Information'!C10</f>
        <v>0</v>
      </c>
    </row>
    <row r="15" spans="1:5" ht="15" thickBot="1" x14ac:dyDescent="0.35">
      <c r="B15" s="5" t="s">
        <v>35</v>
      </c>
      <c r="C15" s="23" t="e">
        <f>'Corridor Information'!C12</f>
        <v>#N/A</v>
      </c>
    </row>
    <row r="16" spans="1:5" ht="15" thickBot="1" x14ac:dyDescent="0.35"/>
    <row r="17" spans="2:3" ht="31.5" customHeight="1" thickBot="1" x14ac:dyDescent="0.35">
      <c r="B17" s="368" t="s">
        <v>68</v>
      </c>
      <c r="C17" s="372"/>
    </row>
    <row r="18" spans="2:3" x14ac:dyDescent="0.3">
      <c r="B18" s="36" t="s">
        <v>113</v>
      </c>
      <c r="C18" s="26">
        <v>1.5</v>
      </c>
    </row>
    <row r="19" spans="2:3" x14ac:dyDescent="0.3">
      <c r="B19" s="14" t="s">
        <v>127</v>
      </c>
      <c r="C19" s="18">
        <f>'Reference Sheet'!D4</f>
        <v>23.12</v>
      </c>
    </row>
    <row r="20" spans="2:3" x14ac:dyDescent="0.3">
      <c r="B20" s="14" t="s">
        <v>33</v>
      </c>
      <c r="C20" s="4">
        <v>260</v>
      </c>
    </row>
    <row r="21" spans="2:3" x14ac:dyDescent="0.3">
      <c r="B21" s="14" t="s">
        <v>129</v>
      </c>
      <c r="C21" s="15" t="str">
        <f>IFERROR(((C15-C14)*C13)*C10,"")</f>
        <v/>
      </c>
    </row>
    <row r="22" spans="2:3" ht="28.8" x14ac:dyDescent="0.3">
      <c r="B22" s="14" t="s">
        <v>128</v>
      </c>
      <c r="C22" s="252" t="str">
        <f>IFERROR(C21*C18,"")</f>
        <v/>
      </c>
    </row>
    <row r="23" spans="2:3" x14ac:dyDescent="0.3">
      <c r="B23" s="14" t="s">
        <v>96</v>
      </c>
      <c r="C23" s="253" t="str">
        <f>IFERROR(ROUND(C22*C20,0),"")</f>
        <v/>
      </c>
    </row>
    <row r="24" spans="2:3" ht="15" thickBot="1" x14ac:dyDescent="0.35">
      <c r="B24" s="19" t="s">
        <v>34</v>
      </c>
      <c r="C24" s="254" t="str">
        <f>IFERROR(ROUND(C22*C20*C19,0),"")</f>
        <v/>
      </c>
    </row>
    <row r="25" spans="2:3" ht="15" thickBot="1" x14ac:dyDescent="0.35"/>
    <row r="26" spans="2:3" ht="31.5" customHeight="1" thickBot="1" x14ac:dyDescent="0.35">
      <c r="B26" s="368" t="s">
        <v>69</v>
      </c>
      <c r="C26" s="295"/>
    </row>
    <row r="27" spans="2:3" x14ac:dyDescent="0.3">
      <c r="B27" s="36" t="s">
        <v>113</v>
      </c>
      <c r="C27" s="20">
        <v>1</v>
      </c>
    </row>
    <row r="28" spans="2:3" x14ac:dyDescent="0.3">
      <c r="B28" s="14" t="s">
        <v>127</v>
      </c>
      <c r="C28" s="18">
        <f>'Reference Sheet'!D5</f>
        <v>64.680000000000007</v>
      </c>
    </row>
    <row r="29" spans="2:3" x14ac:dyDescent="0.3">
      <c r="B29" s="14" t="s">
        <v>33</v>
      </c>
      <c r="C29" s="4">
        <v>260</v>
      </c>
    </row>
    <row r="30" spans="2:3" x14ac:dyDescent="0.3">
      <c r="B30" s="14" t="s">
        <v>129</v>
      </c>
      <c r="C30" s="252" t="str">
        <f>IFERROR((C13*(C15*C14))*C10,"")</f>
        <v/>
      </c>
    </row>
    <row r="31" spans="2:3" ht="28.8" x14ac:dyDescent="0.3">
      <c r="B31" s="14" t="s">
        <v>128</v>
      </c>
      <c r="C31" s="252" t="str">
        <f>IFERROR(C30*C27,"")</f>
        <v/>
      </c>
    </row>
    <row r="32" spans="2:3" x14ac:dyDescent="0.3">
      <c r="B32" s="14" t="s">
        <v>96</v>
      </c>
      <c r="C32" s="253" t="str">
        <f>IFERROR(ROUND(C31*C29,0),"")</f>
        <v/>
      </c>
    </row>
    <row r="33" spans="2:3" ht="15" thickBot="1" x14ac:dyDescent="0.35">
      <c r="B33" s="19" t="s">
        <v>34</v>
      </c>
      <c r="C33" s="254" t="str">
        <f>IFERROR(ROUND(C31*C29*C28,0),"")</f>
        <v/>
      </c>
    </row>
    <row r="34" spans="2:3" ht="15" thickBot="1" x14ac:dyDescent="0.35"/>
    <row r="35" spans="2:3" ht="15" thickBot="1" x14ac:dyDescent="0.35">
      <c r="B35" s="368" t="s">
        <v>99</v>
      </c>
      <c r="C35" s="295"/>
    </row>
    <row r="36" spans="2:3" x14ac:dyDescent="0.3">
      <c r="B36" s="36" t="s">
        <v>96</v>
      </c>
      <c r="C36" s="54" t="str">
        <f>IFERROR((C32+C23),"")</f>
        <v/>
      </c>
    </row>
    <row r="37" spans="2:3" ht="15" thickBot="1" x14ac:dyDescent="0.35">
      <c r="B37" s="19" t="s">
        <v>34</v>
      </c>
      <c r="C37" s="53" t="str">
        <f>IFERROR(ROUND(C33+C24,0),"")</f>
        <v/>
      </c>
    </row>
    <row r="38" spans="2:3" ht="6.75" customHeight="1" x14ac:dyDescent="0.3"/>
    <row r="39" spans="2:3" x14ac:dyDescent="0.3"/>
  </sheetData>
  <sheetProtection algorithmName="SHA-512" hashValue="4Yc+PpzEr4Guly+8wVD1oeEVv51+/vLaVjbuMKRjcQTq4VLFCMsMDO2ZLcEr0UTJ8pmRx9TkpO9KBnai3j5UtQ==" saltValue="LCFoLVvEgBP8siKOzvhkjg==" spinCount="100000" sheet="1" objects="1" scenarios="1"/>
  <mergeCells count="8">
    <mergeCell ref="A1:E1"/>
    <mergeCell ref="A2:E2"/>
    <mergeCell ref="B35:C35"/>
    <mergeCell ref="C10:D10"/>
    <mergeCell ref="B12:C12"/>
    <mergeCell ref="B4:D4"/>
    <mergeCell ref="B17:C17"/>
    <mergeCell ref="B26:C26"/>
  </mergeCells>
  <pageMargins left="0.7" right="0.7" top="0.75" bottom="0.75" header="0.3" footer="0.3"/>
  <pageSetup fitToWidth="0" fitToHeight="0" orientation="portrait" r:id="rId1"/>
  <headerFooter>
    <oddFooter>&amp;RPublish Date: Feb. 2021</oddFooter>
  </headerFooter>
  <ignoredErrors>
    <ignoredError sqref="C6:C8 D6:D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1"/>
  </sheetPr>
  <dimension ref="A1:E29"/>
  <sheetViews>
    <sheetView showGridLines="0" showRowColHeaders="0" zoomScaleNormal="100" workbookViewId="0">
      <selection activeCell="D11" sqref="D11"/>
    </sheetView>
  </sheetViews>
  <sheetFormatPr defaultColWidth="0" defaultRowHeight="14.4" zeroHeight="1" x14ac:dyDescent="0.3"/>
  <cols>
    <col min="1" max="1" width="11.6640625" customWidth="1"/>
    <col min="2" max="2" width="35" bestFit="1" customWidth="1"/>
    <col min="3" max="3" width="15.33203125" customWidth="1"/>
    <col min="4" max="4" width="16.5546875" customWidth="1"/>
    <col min="5" max="5" width="4.33203125" customWidth="1"/>
    <col min="6" max="16384" width="9.109375" hidden="1"/>
  </cols>
  <sheetData>
    <row r="1" spans="1:4" ht="30" customHeight="1" x14ac:dyDescent="0.3">
      <c r="A1" s="366" t="s">
        <v>74</v>
      </c>
      <c r="B1" s="366"/>
      <c r="C1" s="366"/>
      <c r="D1" s="366"/>
    </row>
    <row r="2" spans="1:4" x14ac:dyDescent="0.3">
      <c r="A2" s="375" t="str">
        <f>"Corridor:   "&amp;'Corridor Information'!B2</f>
        <v xml:space="preserve">Corridor:   </v>
      </c>
      <c r="B2" s="375"/>
      <c r="C2" s="375"/>
      <c r="D2" s="375"/>
    </row>
    <row r="3" spans="1:4" ht="15" thickBot="1" x14ac:dyDescent="0.35"/>
    <row r="4" spans="1:4" ht="15" thickBot="1" x14ac:dyDescent="0.35">
      <c r="B4" s="376" t="s">
        <v>36</v>
      </c>
      <c r="C4" s="377"/>
    </row>
    <row r="5" spans="1:4" x14ac:dyDescent="0.3">
      <c r="B5" s="36" t="s">
        <v>38</v>
      </c>
      <c r="C5" s="61"/>
    </row>
    <row r="6" spans="1:4" x14ac:dyDescent="0.3">
      <c r="B6" s="14" t="s">
        <v>37</v>
      </c>
      <c r="C6" s="62"/>
    </row>
    <row r="7" spans="1:4" x14ac:dyDescent="0.3">
      <c r="B7" s="14" t="s">
        <v>39</v>
      </c>
      <c r="C7" s="62"/>
    </row>
    <row r="8" spans="1:4" x14ac:dyDescent="0.3">
      <c r="B8" s="14" t="s">
        <v>40</v>
      </c>
      <c r="C8" s="62"/>
    </row>
    <row r="9" spans="1:4" ht="15" thickBot="1" x14ac:dyDescent="0.35">
      <c r="B9" s="19" t="s">
        <v>42</v>
      </c>
      <c r="C9" s="37">
        <v>0.08</v>
      </c>
    </row>
    <row r="10" spans="1:4" ht="15" thickBot="1" x14ac:dyDescent="0.35"/>
    <row r="11" spans="1:4" ht="30" customHeight="1" thickBot="1" x14ac:dyDescent="0.35">
      <c r="B11" s="373" t="s">
        <v>70</v>
      </c>
      <c r="C11" s="374"/>
    </row>
    <row r="12" spans="1:4" x14ac:dyDescent="0.3">
      <c r="B12" s="36" t="s">
        <v>46</v>
      </c>
      <c r="C12" s="49">
        <f>'Reference Sheet'!D6</f>
        <v>11008</v>
      </c>
    </row>
    <row r="13" spans="1:4" x14ac:dyDescent="0.3">
      <c r="B13" s="14" t="s">
        <v>43</v>
      </c>
      <c r="C13" s="252">
        <f>(C8*C9)/3</f>
        <v>0</v>
      </c>
    </row>
    <row r="14" spans="1:4" ht="15" thickBot="1" x14ac:dyDescent="0.35">
      <c r="B14" s="19" t="s">
        <v>44</v>
      </c>
      <c r="C14" s="255">
        <f>ROUND(C13*C12,0)</f>
        <v>0</v>
      </c>
    </row>
    <row r="15" spans="1:4" ht="15" thickBot="1" x14ac:dyDescent="0.35"/>
    <row r="16" spans="1:4" ht="32.25" customHeight="1" thickBot="1" x14ac:dyDescent="0.35">
      <c r="B16" s="373" t="s">
        <v>71</v>
      </c>
      <c r="C16" s="374"/>
    </row>
    <row r="17" spans="2:3" x14ac:dyDescent="0.3">
      <c r="B17" s="36" t="s">
        <v>46</v>
      </c>
      <c r="C17" s="49">
        <f>'Reference Sheet'!D7</f>
        <v>72068</v>
      </c>
    </row>
    <row r="18" spans="2:3" x14ac:dyDescent="0.3">
      <c r="B18" s="14" t="s">
        <v>43</v>
      </c>
      <c r="C18" s="252">
        <f>(C9*C6)/3</f>
        <v>0</v>
      </c>
    </row>
    <row r="19" spans="2:3" ht="15" thickBot="1" x14ac:dyDescent="0.35">
      <c r="B19" s="19" t="s">
        <v>44</v>
      </c>
      <c r="C19" s="255">
        <f>ROUND(C18*C17,0)</f>
        <v>0</v>
      </c>
    </row>
    <row r="20" spans="2:3" ht="15" thickBot="1" x14ac:dyDescent="0.35"/>
    <row r="21" spans="2:3" ht="33" customHeight="1" thickBot="1" x14ac:dyDescent="0.35">
      <c r="B21" s="373" t="s">
        <v>72</v>
      </c>
      <c r="C21" s="374"/>
    </row>
    <row r="22" spans="2:3" x14ac:dyDescent="0.3">
      <c r="B22" s="36" t="s">
        <v>46</v>
      </c>
      <c r="C22" s="49">
        <f>ROUND('Reference Sheet'!D8,0)</f>
        <v>2142320</v>
      </c>
    </row>
    <row r="23" spans="2:3" x14ac:dyDescent="0.3">
      <c r="B23" s="14" t="s">
        <v>43</v>
      </c>
      <c r="C23" s="252">
        <f>(C7*C9)/3</f>
        <v>0</v>
      </c>
    </row>
    <row r="24" spans="2:3" ht="15" thickBot="1" x14ac:dyDescent="0.35">
      <c r="B24" s="19" t="s">
        <v>44</v>
      </c>
      <c r="C24" s="255">
        <f>ROUND(C23*C22,0)</f>
        <v>0</v>
      </c>
    </row>
    <row r="25" spans="2:3" ht="15" thickBot="1" x14ac:dyDescent="0.35"/>
    <row r="26" spans="2:3" ht="33" customHeight="1" thickBot="1" x14ac:dyDescent="0.35">
      <c r="B26" s="373" t="s">
        <v>73</v>
      </c>
      <c r="C26" s="374"/>
    </row>
    <row r="27" spans="2:3" x14ac:dyDescent="0.3">
      <c r="B27" s="36" t="s">
        <v>45</v>
      </c>
      <c r="C27" s="50">
        <f>SUM(C24,C19,C14)</f>
        <v>0</v>
      </c>
    </row>
    <row r="28" spans="2:3" ht="15" thickBot="1" x14ac:dyDescent="0.35">
      <c r="B28" s="19" t="s">
        <v>43</v>
      </c>
      <c r="C28" s="51">
        <f>ROUND(SUM(C23,C18,C13),0)</f>
        <v>0</v>
      </c>
    </row>
    <row r="29" spans="2:3" x14ac:dyDescent="0.3"/>
  </sheetData>
  <sheetProtection algorithmName="SHA-512" hashValue="1vIcogAiMhl9yayeFFeRUdyQlk6YdsNIWyghQfzzmPG1skXoejxgiaqZnprf09zP7cEzNs/jbGWjE7Jji7D0bg==" saltValue="DBVpm0cI2iZ5AHGu1wB+FA==" spinCount="100000" sheet="1" objects="1" scenarios="1"/>
  <mergeCells count="7">
    <mergeCell ref="B21:C21"/>
    <mergeCell ref="B26:C26"/>
    <mergeCell ref="A1:D1"/>
    <mergeCell ref="A2:D2"/>
    <mergeCell ref="B4:C4"/>
    <mergeCell ref="B11:C11"/>
    <mergeCell ref="B16:C16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294C5-ACEC-41A0-9537-12717CB0A90B}">
  <sheetPr codeName="Sheet11">
    <tabColor rgb="FFFFC000"/>
    <pageSetUpPr fitToPage="1"/>
  </sheetPr>
  <dimension ref="A1:Z48"/>
  <sheetViews>
    <sheetView zoomScaleNormal="100" workbookViewId="0">
      <selection activeCell="A14" sqref="A14:A20"/>
    </sheetView>
  </sheetViews>
  <sheetFormatPr defaultColWidth="9.109375" defaultRowHeight="14.4" zeroHeight="1" x14ac:dyDescent="0.3"/>
  <cols>
    <col min="1" max="1" width="35.5546875" style="272" customWidth="1"/>
    <col min="2" max="10" width="9.6640625" style="272" customWidth="1"/>
    <col min="11" max="11" width="11" style="272" customWidth="1"/>
    <col min="12" max="12" width="9.109375" style="272"/>
    <col min="13" max="13" width="10" style="272" customWidth="1"/>
    <col min="14" max="14" width="9.109375" style="272"/>
    <col min="15" max="15" width="9.5546875" style="272" customWidth="1"/>
    <col min="16" max="16" width="10.33203125" style="272" customWidth="1"/>
    <col min="17" max="17" width="9.109375" style="272"/>
    <col min="18" max="18" width="9.88671875" style="272" customWidth="1"/>
    <col min="19" max="19" width="9.5546875" style="272" customWidth="1"/>
    <col min="20" max="26" width="9.109375" style="104"/>
    <col min="16384" max="16384" width="1.44140625" customWidth="1"/>
  </cols>
  <sheetData>
    <row r="1" spans="1:19" ht="30" customHeight="1" x14ac:dyDescent="0.3">
      <c r="A1" s="351" t="s">
        <v>130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9" x14ac:dyDescent="0.3">
      <c r="A2" s="352" t="str">
        <f>"Corridor:  "&amp;'Corridor Information'!B2</f>
        <v xml:space="preserve">Corridor:  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9" x14ac:dyDescent="0.3">
      <c r="B3" s="362" t="s">
        <v>115</v>
      </c>
      <c r="C3" s="362"/>
      <c r="D3" s="363" t="s">
        <v>152</v>
      </c>
      <c r="E3" s="364"/>
      <c r="F3" s="364"/>
      <c r="G3" s="364"/>
      <c r="H3" s="364"/>
      <c r="I3" s="364"/>
      <c r="J3" s="364"/>
    </row>
    <row r="4" spans="1:19" x14ac:dyDescent="0.3">
      <c r="B4" s="263" t="s">
        <v>143</v>
      </c>
      <c r="C4" s="263"/>
      <c r="D4" s="365" t="str">
        <f>'INRIX Data - Travel Time'!D4</f>
        <v>[i.e.--01/01/2019-03/06/2019]</v>
      </c>
      <c r="E4" s="365"/>
      <c r="F4" s="365"/>
      <c r="G4" s="365"/>
      <c r="H4" s="365"/>
      <c r="I4" s="365"/>
      <c r="J4" s="365"/>
    </row>
    <row r="5" spans="1:19" x14ac:dyDescent="0.3">
      <c r="B5" s="263" t="s">
        <v>144</v>
      </c>
      <c r="C5" s="263"/>
      <c r="D5" s="365" t="str">
        <f>'INRIX Data - Travel Time'!D5</f>
        <v>[i.e.--01/01/2019-03/06/2019]</v>
      </c>
      <c r="E5" s="365"/>
      <c r="F5" s="365"/>
      <c r="G5" s="365"/>
      <c r="H5" s="365"/>
      <c r="I5" s="365"/>
      <c r="J5" s="365"/>
    </row>
    <row r="6" spans="1:19" x14ac:dyDescent="0.3">
      <c r="B6" s="327" t="s">
        <v>116</v>
      </c>
      <c r="C6" s="327"/>
      <c r="D6" s="279">
        <f>'INRIX Data - Travel Time'!D6</f>
        <v>0</v>
      </c>
      <c r="F6" s="334" t="s">
        <v>139</v>
      </c>
      <c r="G6" s="334"/>
      <c r="H6" s="279">
        <f>'INRIX Data - Travel Time'!H6</f>
        <v>0</v>
      </c>
    </row>
    <row r="7" spans="1:19" x14ac:dyDescent="0.3">
      <c r="B7" s="328" t="s">
        <v>117</v>
      </c>
      <c r="C7" s="328"/>
      <c r="D7" s="279">
        <f>'INRIX Data - Travel Time'!D7</f>
        <v>0</v>
      </c>
      <c r="F7" s="335" t="s">
        <v>140</v>
      </c>
      <c r="G7" s="335"/>
      <c r="H7" s="279">
        <f>'INRIX Data - Travel Time'!H7</f>
        <v>0</v>
      </c>
    </row>
    <row r="8" spans="1:19" x14ac:dyDescent="0.3">
      <c r="B8" s="329" t="s">
        <v>118</v>
      </c>
      <c r="C8" s="329"/>
      <c r="D8" s="279">
        <f>'INRIX Data - Travel Time'!D8</f>
        <v>0</v>
      </c>
      <c r="F8" s="336" t="s">
        <v>141</v>
      </c>
      <c r="G8" s="336"/>
      <c r="H8" s="279">
        <f>'INRIX Data - Travel Time'!H8</f>
        <v>0</v>
      </c>
      <c r="K8" s="302" t="s">
        <v>142</v>
      </c>
      <c r="L8" s="302"/>
      <c r="M8" s="302"/>
      <c r="N8" s="302"/>
      <c r="O8" s="302"/>
      <c r="P8" s="302"/>
      <c r="Q8" s="302"/>
      <c r="R8" s="302"/>
      <c r="S8" s="302"/>
    </row>
    <row r="9" spans="1:19" ht="15" thickBot="1" x14ac:dyDescent="0.35">
      <c r="K9" s="303"/>
      <c r="L9" s="303"/>
      <c r="M9" s="303"/>
      <c r="N9" s="303"/>
      <c r="O9" s="303"/>
      <c r="P9" s="303"/>
      <c r="Q9" s="303"/>
      <c r="R9" s="303"/>
      <c r="S9" s="303"/>
    </row>
    <row r="10" spans="1:19" ht="15" thickBot="1" x14ac:dyDescent="0.35">
      <c r="B10" s="304"/>
      <c r="C10" s="305"/>
      <c r="D10" s="305"/>
      <c r="E10" s="305"/>
      <c r="F10" s="305"/>
      <c r="G10" s="305"/>
      <c r="H10" s="305"/>
      <c r="I10" s="305"/>
      <c r="J10" s="306"/>
      <c r="K10" s="304"/>
      <c r="L10" s="305"/>
      <c r="M10" s="305"/>
      <c r="N10" s="305"/>
      <c r="O10" s="305"/>
      <c r="P10" s="305"/>
      <c r="Q10" s="305"/>
      <c r="R10" s="305"/>
      <c r="S10" s="306"/>
    </row>
    <row r="11" spans="1:19" ht="15" thickBot="1" x14ac:dyDescent="0.35">
      <c r="A11" s="359" t="s">
        <v>151</v>
      </c>
      <c r="B11" s="340" t="s">
        <v>25</v>
      </c>
      <c r="C11" s="341"/>
      <c r="D11" s="342"/>
      <c r="E11" s="343" t="s">
        <v>26</v>
      </c>
      <c r="F11" s="344"/>
      <c r="G11" s="345"/>
      <c r="H11" s="346" t="s">
        <v>27</v>
      </c>
      <c r="I11" s="347"/>
      <c r="J11" s="348"/>
      <c r="K11" s="307" t="s">
        <v>136</v>
      </c>
      <c r="L11" s="308"/>
      <c r="M11" s="309"/>
      <c r="N11" s="310" t="s">
        <v>137</v>
      </c>
      <c r="O11" s="311"/>
      <c r="P11" s="312"/>
      <c r="Q11" s="313" t="s">
        <v>138</v>
      </c>
      <c r="R11" s="314"/>
      <c r="S11" s="315"/>
    </row>
    <row r="12" spans="1:19" ht="15" thickBot="1" x14ac:dyDescent="0.35">
      <c r="A12" s="360"/>
      <c r="B12" s="353" t="s">
        <v>119</v>
      </c>
      <c r="C12" s="330" t="s">
        <v>131</v>
      </c>
      <c r="D12" s="331"/>
      <c r="E12" s="357" t="s">
        <v>119</v>
      </c>
      <c r="F12" s="378" t="s">
        <v>131</v>
      </c>
      <c r="G12" s="379"/>
      <c r="H12" s="355" t="s">
        <v>119</v>
      </c>
      <c r="I12" s="380" t="s">
        <v>131</v>
      </c>
      <c r="J12" s="381"/>
      <c r="K12" s="318" t="s">
        <v>119</v>
      </c>
      <c r="L12" s="320" t="s">
        <v>131</v>
      </c>
      <c r="M12" s="321"/>
      <c r="N12" s="322" t="s">
        <v>119</v>
      </c>
      <c r="O12" s="324" t="s">
        <v>131</v>
      </c>
      <c r="P12" s="325"/>
      <c r="Q12" s="300" t="s">
        <v>119</v>
      </c>
      <c r="R12" s="316" t="s">
        <v>131</v>
      </c>
      <c r="S12" s="317"/>
    </row>
    <row r="13" spans="1:19" ht="15" thickBot="1" x14ac:dyDescent="0.35">
      <c r="A13" s="361"/>
      <c r="B13" s="354"/>
      <c r="C13" s="70" t="s">
        <v>121</v>
      </c>
      <c r="D13" s="70" t="s">
        <v>114</v>
      </c>
      <c r="E13" s="358"/>
      <c r="F13" s="71" t="s">
        <v>121</v>
      </c>
      <c r="G13" s="71" t="s">
        <v>114</v>
      </c>
      <c r="H13" s="356"/>
      <c r="I13" s="72" t="s">
        <v>121</v>
      </c>
      <c r="J13" s="72" t="s">
        <v>114</v>
      </c>
      <c r="K13" s="319"/>
      <c r="L13" s="89" t="s">
        <v>121</v>
      </c>
      <c r="M13" s="89" t="s">
        <v>114</v>
      </c>
      <c r="N13" s="323"/>
      <c r="O13" s="94" t="s">
        <v>121</v>
      </c>
      <c r="P13" s="94" t="s">
        <v>114</v>
      </c>
      <c r="Q13" s="301"/>
      <c r="R13" s="99" t="s">
        <v>121</v>
      </c>
      <c r="S13" s="99" t="s">
        <v>114</v>
      </c>
    </row>
    <row r="14" spans="1:19" ht="15" customHeight="1" x14ac:dyDescent="0.3">
      <c r="A14" s="337" t="s">
        <v>154</v>
      </c>
      <c r="B14" s="74">
        <f>D6</f>
        <v>0</v>
      </c>
      <c r="C14" s="195"/>
      <c r="D14" s="196"/>
      <c r="E14" s="77">
        <f>D7</f>
        <v>0</v>
      </c>
      <c r="F14" s="201"/>
      <c r="G14" s="202"/>
      <c r="H14" s="79">
        <f>D8</f>
        <v>0</v>
      </c>
      <c r="I14" s="207"/>
      <c r="J14" s="208"/>
      <c r="K14" s="90">
        <f>H6</f>
        <v>0</v>
      </c>
      <c r="L14" s="213"/>
      <c r="M14" s="214"/>
      <c r="N14" s="95">
        <f>H7</f>
        <v>0</v>
      </c>
      <c r="O14" s="226"/>
      <c r="P14" s="227"/>
      <c r="Q14" s="100">
        <f>H8</f>
        <v>0</v>
      </c>
      <c r="R14" s="219"/>
      <c r="S14" s="220"/>
    </row>
    <row r="15" spans="1:19" ht="15" customHeight="1" x14ac:dyDescent="0.3">
      <c r="A15" s="338"/>
      <c r="B15" s="75">
        <f>B14+TIME(0,15,0)</f>
        <v>1.0416666666666666E-2</v>
      </c>
      <c r="C15" s="197"/>
      <c r="D15" s="198"/>
      <c r="E15" s="73">
        <f>E14+TIME(0,15,0)</f>
        <v>1.0416666666666666E-2</v>
      </c>
      <c r="F15" s="203"/>
      <c r="G15" s="204"/>
      <c r="H15" s="80">
        <f>H14+TIME(0,15,0)</f>
        <v>1.0416666666666666E-2</v>
      </c>
      <c r="I15" s="209"/>
      <c r="J15" s="210"/>
      <c r="K15" s="91">
        <f>K14+TIME(0,15,0)</f>
        <v>1.0416666666666666E-2</v>
      </c>
      <c r="L15" s="215"/>
      <c r="M15" s="216"/>
      <c r="N15" s="96">
        <f>N14+TIME(0,15,0)</f>
        <v>1.0416666666666666E-2</v>
      </c>
      <c r="O15" s="228"/>
      <c r="P15" s="229"/>
      <c r="Q15" s="101">
        <f>Q14+TIME(0,15,0)</f>
        <v>1.0416666666666666E-2</v>
      </c>
      <c r="R15" s="221"/>
      <c r="S15" s="222"/>
    </row>
    <row r="16" spans="1:19" ht="15" customHeight="1" x14ac:dyDescent="0.3">
      <c r="A16" s="338"/>
      <c r="B16" s="75">
        <f t="shared" ref="B16:B20" si="0">B15+TIME(0,15,0)</f>
        <v>2.0833333333333332E-2</v>
      </c>
      <c r="C16" s="197"/>
      <c r="D16" s="198"/>
      <c r="E16" s="73">
        <f t="shared" ref="E16:E20" si="1">E15+TIME(0,15,0)</f>
        <v>2.0833333333333332E-2</v>
      </c>
      <c r="F16" s="203"/>
      <c r="G16" s="204"/>
      <c r="H16" s="80">
        <f t="shared" ref="H16:H20" si="2">H15+TIME(0,15,0)</f>
        <v>2.0833333333333332E-2</v>
      </c>
      <c r="I16" s="209"/>
      <c r="J16" s="210"/>
      <c r="K16" s="91">
        <f t="shared" ref="K16:K20" si="3">K15+TIME(0,15,0)</f>
        <v>2.0833333333333332E-2</v>
      </c>
      <c r="L16" s="215"/>
      <c r="M16" s="216"/>
      <c r="N16" s="96">
        <f t="shared" ref="N16:N20" si="4">N15+TIME(0,15,0)</f>
        <v>2.0833333333333332E-2</v>
      </c>
      <c r="O16" s="228"/>
      <c r="P16" s="229"/>
      <c r="Q16" s="101">
        <f t="shared" ref="Q16:Q20" si="5">Q15+TIME(0,15,0)</f>
        <v>2.0833333333333332E-2</v>
      </c>
      <c r="R16" s="221"/>
      <c r="S16" s="222"/>
    </row>
    <row r="17" spans="1:19" ht="15" customHeight="1" x14ac:dyDescent="0.3">
      <c r="A17" s="338"/>
      <c r="B17" s="75">
        <f t="shared" si="0"/>
        <v>3.125E-2</v>
      </c>
      <c r="C17" s="197"/>
      <c r="D17" s="198"/>
      <c r="E17" s="73">
        <f t="shared" si="1"/>
        <v>3.125E-2</v>
      </c>
      <c r="F17" s="203"/>
      <c r="G17" s="204"/>
      <c r="H17" s="80">
        <f t="shared" si="2"/>
        <v>3.125E-2</v>
      </c>
      <c r="I17" s="209"/>
      <c r="J17" s="210"/>
      <c r="K17" s="91">
        <f t="shared" si="3"/>
        <v>3.125E-2</v>
      </c>
      <c r="L17" s="215"/>
      <c r="M17" s="216"/>
      <c r="N17" s="96">
        <f t="shared" si="4"/>
        <v>3.125E-2</v>
      </c>
      <c r="O17" s="228"/>
      <c r="P17" s="229"/>
      <c r="Q17" s="101">
        <f t="shared" si="5"/>
        <v>3.125E-2</v>
      </c>
      <c r="R17" s="221"/>
      <c r="S17" s="222"/>
    </row>
    <row r="18" spans="1:19" ht="15" customHeight="1" x14ac:dyDescent="0.3">
      <c r="A18" s="338"/>
      <c r="B18" s="75">
        <f t="shared" si="0"/>
        <v>4.1666666666666664E-2</v>
      </c>
      <c r="C18" s="197"/>
      <c r="D18" s="198"/>
      <c r="E18" s="73">
        <f t="shared" si="1"/>
        <v>4.1666666666666664E-2</v>
      </c>
      <c r="F18" s="203"/>
      <c r="G18" s="204"/>
      <c r="H18" s="80">
        <f t="shared" si="2"/>
        <v>4.1666666666666664E-2</v>
      </c>
      <c r="I18" s="209"/>
      <c r="J18" s="210"/>
      <c r="K18" s="91">
        <f t="shared" si="3"/>
        <v>4.1666666666666664E-2</v>
      </c>
      <c r="L18" s="215"/>
      <c r="M18" s="216"/>
      <c r="N18" s="96">
        <f t="shared" si="4"/>
        <v>4.1666666666666664E-2</v>
      </c>
      <c r="O18" s="228"/>
      <c r="P18" s="229"/>
      <c r="Q18" s="101">
        <f t="shared" si="5"/>
        <v>4.1666666666666664E-2</v>
      </c>
      <c r="R18" s="221"/>
      <c r="S18" s="222"/>
    </row>
    <row r="19" spans="1:19" ht="15" customHeight="1" x14ac:dyDescent="0.3">
      <c r="A19" s="338"/>
      <c r="B19" s="75">
        <f t="shared" si="0"/>
        <v>5.2083333333333329E-2</v>
      </c>
      <c r="C19" s="197"/>
      <c r="D19" s="198"/>
      <c r="E19" s="73">
        <f t="shared" si="1"/>
        <v>5.2083333333333329E-2</v>
      </c>
      <c r="F19" s="203"/>
      <c r="G19" s="204"/>
      <c r="H19" s="80">
        <f t="shared" si="2"/>
        <v>5.2083333333333329E-2</v>
      </c>
      <c r="I19" s="209"/>
      <c r="J19" s="210"/>
      <c r="K19" s="91">
        <f t="shared" si="3"/>
        <v>5.2083333333333329E-2</v>
      </c>
      <c r="L19" s="215"/>
      <c r="M19" s="216"/>
      <c r="N19" s="96">
        <f t="shared" si="4"/>
        <v>5.2083333333333329E-2</v>
      </c>
      <c r="O19" s="228"/>
      <c r="P19" s="229"/>
      <c r="Q19" s="101">
        <f t="shared" si="5"/>
        <v>5.2083333333333329E-2</v>
      </c>
      <c r="R19" s="221"/>
      <c r="S19" s="222"/>
    </row>
    <row r="20" spans="1:19" ht="15" customHeight="1" thickBot="1" x14ac:dyDescent="0.35">
      <c r="A20" s="338"/>
      <c r="B20" s="76">
        <f t="shared" si="0"/>
        <v>6.2499999999999993E-2</v>
      </c>
      <c r="C20" s="197"/>
      <c r="D20" s="198"/>
      <c r="E20" s="78">
        <f t="shared" si="1"/>
        <v>6.2499999999999993E-2</v>
      </c>
      <c r="F20" s="203"/>
      <c r="G20" s="204"/>
      <c r="H20" s="81">
        <f t="shared" si="2"/>
        <v>6.2499999999999993E-2</v>
      </c>
      <c r="I20" s="209"/>
      <c r="J20" s="210"/>
      <c r="K20" s="93">
        <f t="shared" si="3"/>
        <v>6.2499999999999993E-2</v>
      </c>
      <c r="L20" s="215"/>
      <c r="M20" s="216"/>
      <c r="N20" s="98">
        <f t="shared" si="4"/>
        <v>6.2499999999999993E-2</v>
      </c>
      <c r="O20" s="228"/>
      <c r="P20" s="229"/>
      <c r="Q20" s="103">
        <f t="shared" si="5"/>
        <v>6.2499999999999993E-2</v>
      </c>
      <c r="R20" s="221"/>
      <c r="S20" s="222"/>
    </row>
    <row r="21" spans="1:19" ht="15" customHeight="1" thickBot="1" x14ac:dyDescent="0.35">
      <c r="A21" s="143"/>
      <c r="B21" s="144"/>
      <c r="C21" s="199"/>
      <c r="D21" s="199"/>
      <c r="E21" s="122"/>
      <c r="F21" s="199"/>
      <c r="G21" s="199"/>
      <c r="H21" s="122"/>
      <c r="I21" s="199"/>
      <c r="J21" s="199"/>
      <c r="K21" s="122"/>
      <c r="L21" s="199"/>
      <c r="M21" s="199"/>
      <c r="N21" s="122"/>
      <c r="O21" s="199"/>
      <c r="P21" s="199"/>
      <c r="Q21" s="122"/>
      <c r="R21" s="199"/>
      <c r="S21" s="223"/>
    </row>
    <row r="22" spans="1:19" ht="15" customHeight="1" x14ac:dyDescent="0.3">
      <c r="A22" s="337" t="s">
        <v>155</v>
      </c>
      <c r="B22" s="74">
        <f>D6</f>
        <v>0</v>
      </c>
      <c r="C22" s="195"/>
      <c r="D22" s="198"/>
      <c r="E22" s="77">
        <f>D7</f>
        <v>0</v>
      </c>
      <c r="F22" s="201"/>
      <c r="G22" s="204"/>
      <c r="H22" s="79">
        <f>D8</f>
        <v>0</v>
      </c>
      <c r="I22" s="207"/>
      <c r="J22" s="210"/>
      <c r="K22" s="90">
        <f>H6</f>
        <v>0</v>
      </c>
      <c r="L22" s="213"/>
      <c r="M22" s="216"/>
      <c r="N22" s="95">
        <f>H7</f>
        <v>0</v>
      </c>
      <c r="O22" s="226"/>
      <c r="P22" s="229"/>
      <c r="Q22" s="100">
        <f>H8</f>
        <v>0</v>
      </c>
      <c r="R22" s="219"/>
      <c r="S22" s="222"/>
    </row>
    <row r="23" spans="1:19" ht="15" customHeight="1" x14ac:dyDescent="0.3">
      <c r="A23" s="338"/>
      <c r="B23" s="75">
        <f>B22+TIME(0,15,0)</f>
        <v>1.0416666666666666E-2</v>
      </c>
      <c r="C23" s="197"/>
      <c r="D23" s="198"/>
      <c r="E23" s="73">
        <f>E22+TIME(0,15,0)</f>
        <v>1.0416666666666666E-2</v>
      </c>
      <c r="F23" s="203"/>
      <c r="G23" s="204"/>
      <c r="H23" s="80">
        <f>H22+TIME(0,15,0)</f>
        <v>1.0416666666666666E-2</v>
      </c>
      <c r="I23" s="209"/>
      <c r="J23" s="210"/>
      <c r="K23" s="91">
        <f>K22+TIME(0,15,0)</f>
        <v>1.0416666666666666E-2</v>
      </c>
      <c r="L23" s="215"/>
      <c r="M23" s="216"/>
      <c r="N23" s="96">
        <f>N22+TIME(0,15,0)</f>
        <v>1.0416666666666666E-2</v>
      </c>
      <c r="O23" s="228"/>
      <c r="P23" s="229"/>
      <c r="Q23" s="101">
        <f>Q22+TIME(0,15,0)</f>
        <v>1.0416666666666666E-2</v>
      </c>
      <c r="R23" s="221"/>
      <c r="S23" s="222"/>
    </row>
    <row r="24" spans="1:19" ht="15" customHeight="1" x14ac:dyDescent="0.3">
      <c r="A24" s="338"/>
      <c r="B24" s="75">
        <f t="shared" ref="B24:B28" si="6">B23+TIME(0,15,0)</f>
        <v>2.0833333333333332E-2</v>
      </c>
      <c r="C24" s="197"/>
      <c r="D24" s="198"/>
      <c r="E24" s="73">
        <f t="shared" ref="E24:E28" si="7">E23+TIME(0,15,0)</f>
        <v>2.0833333333333332E-2</v>
      </c>
      <c r="F24" s="203"/>
      <c r="G24" s="204"/>
      <c r="H24" s="80">
        <f t="shared" ref="H24:H28" si="8">H23+TIME(0,15,0)</f>
        <v>2.0833333333333332E-2</v>
      </c>
      <c r="I24" s="209"/>
      <c r="J24" s="210"/>
      <c r="K24" s="91">
        <f t="shared" ref="K24:K28" si="9">K23+TIME(0,15,0)</f>
        <v>2.0833333333333332E-2</v>
      </c>
      <c r="L24" s="215"/>
      <c r="M24" s="216"/>
      <c r="N24" s="96">
        <f t="shared" ref="N24:N28" si="10">N23+TIME(0,15,0)</f>
        <v>2.0833333333333332E-2</v>
      </c>
      <c r="O24" s="228"/>
      <c r="P24" s="229"/>
      <c r="Q24" s="101">
        <f t="shared" ref="Q24:Q28" si="11">Q23+TIME(0,15,0)</f>
        <v>2.0833333333333332E-2</v>
      </c>
      <c r="R24" s="221"/>
      <c r="S24" s="222"/>
    </row>
    <row r="25" spans="1:19" ht="15" customHeight="1" x14ac:dyDescent="0.3">
      <c r="A25" s="338"/>
      <c r="B25" s="75">
        <f t="shared" si="6"/>
        <v>3.125E-2</v>
      </c>
      <c r="C25" s="197"/>
      <c r="D25" s="198"/>
      <c r="E25" s="73">
        <f t="shared" si="7"/>
        <v>3.125E-2</v>
      </c>
      <c r="F25" s="203"/>
      <c r="G25" s="204"/>
      <c r="H25" s="80">
        <f t="shared" si="8"/>
        <v>3.125E-2</v>
      </c>
      <c r="I25" s="209"/>
      <c r="J25" s="210"/>
      <c r="K25" s="91">
        <f t="shared" si="9"/>
        <v>3.125E-2</v>
      </c>
      <c r="L25" s="215"/>
      <c r="M25" s="216"/>
      <c r="N25" s="96">
        <f t="shared" si="10"/>
        <v>3.125E-2</v>
      </c>
      <c r="O25" s="228"/>
      <c r="P25" s="229"/>
      <c r="Q25" s="101">
        <f t="shared" si="11"/>
        <v>3.125E-2</v>
      </c>
      <c r="R25" s="221"/>
      <c r="S25" s="222"/>
    </row>
    <row r="26" spans="1:19" ht="15" customHeight="1" x14ac:dyDescent="0.3">
      <c r="A26" s="338"/>
      <c r="B26" s="75">
        <f t="shared" si="6"/>
        <v>4.1666666666666664E-2</v>
      </c>
      <c r="C26" s="197"/>
      <c r="D26" s="198"/>
      <c r="E26" s="73">
        <f t="shared" si="7"/>
        <v>4.1666666666666664E-2</v>
      </c>
      <c r="F26" s="203"/>
      <c r="G26" s="204"/>
      <c r="H26" s="80">
        <f t="shared" si="8"/>
        <v>4.1666666666666664E-2</v>
      </c>
      <c r="I26" s="209"/>
      <c r="J26" s="210"/>
      <c r="K26" s="91">
        <f t="shared" si="9"/>
        <v>4.1666666666666664E-2</v>
      </c>
      <c r="L26" s="215"/>
      <c r="M26" s="216"/>
      <c r="N26" s="96">
        <f t="shared" si="10"/>
        <v>4.1666666666666664E-2</v>
      </c>
      <c r="O26" s="228"/>
      <c r="P26" s="229"/>
      <c r="Q26" s="101">
        <f t="shared" si="11"/>
        <v>4.1666666666666664E-2</v>
      </c>
      <c r="R26" s="221"/>
      <c r="S26" s="222"/>
    </row>
    <row r="27" spans="1:19" ht="15" customHeight="1" x14ac:dyDescent="0.3">
      <c r="A27" s="338"/>
      <c r="B27" s="75">
        <f t="shared" si="6"/>
        <v>5.2083333333333329E-2</v>
      </c>
      <c r="C27" s="197"/>
      <c r="D27" s="198"/>
      <c r="E27" s="73">
        <f t="shared" si="7"/>
        <v>5.2083333333333329E-2</v>
      </c>
      <c r="F27" s="203"/>
      <c r="G27" s="204"/>
      <c r="H27" s="80">
        <f t="shared" si="8"/>
        <v>5.2083333333333329E-2</v>
      </c>
      <c r="I27" s="209"/>
      <c r="J27" s="210"/>
      <c r="K27" s="91">
        <f t="shared" si="9"/>
        <v>5.2083333333333329E-2</v>
      </c>
      <c r="L27" s="215"/>
      <c r="M27" s="216"/>
      <c r="N27" s="96">
        <f t="shared" si="10"/>
        <v>5.2083333333333329E-2</v>
      </c>
      <c r="O27" s="228"/>
      <c r="P27" s="229"/>
      <c r="Q27" s="101">
        <f t="shared" si="11"/>
        <v>5.2083333333333329E-2</v>
      </c>
      <c r="R27" s="221"/>
      <c r="S27" s="222"/>
    </row>
    <row r="28" spans="1:19" ht="15" customHeight="1" thickBot="1" x14ac:dyDescent="0.35">
      <c r="A28" s="339"/>
      <c r="B28" s="76">
        <f t="shared" si="6"/>
        <v>6.2499999999999993E-2</v>
      </c>
      <c r="C28" s="200"/>
      <c r="D28" s="194"/>
      <c r="E28" s="78">
        <f t="shared" si="7"/>
        <v>6.2499999999999993E-2</v>
      </c>
      <c r="F28" s="205"/>
      <c r="G28" s="206"/>
      <c r="H28" s="81">
        <f t="shared" si="8"/>
        <v>6.2499999999999993E-2</v>
      </c>
      <c r="I28" s="211"/>
      <c r="J28" s="212"/>
      <c r="K28" s="93">
        <f t="shared" si="9"/>
        <v>6.2499999999999993E-2</v>
      </c>
      <c r="L28" s="217"/>
      <c r="M28" s="218"/>
      <c r="N28" s="98">
        <f t="shared" si="10"/>
        <v>6.2499999999999993E-2</v>
      </c>
      <c r="O28" s="230"/>
      <c r="P28" s="231"/>
      <c r="Q28" s="103">
        <f t="shared" si="11"/>
        <v>6.2499999999999993E-2</v>
      </c>
      <c r="R28" s="224"/>
      <c r="S28" s="225"/>
    </row>
    <row r="29" spans="1:19" ht="15" customHeight="1" x14ac:dyDescent="0.3"/>
    <row r="30" spans="1:19" ht="15" customHeight="1" thickBot="1" x14ac:dyDescent="0.35"/>
    <row r="31" spans="1:19" ht="15" customHeight="1" thickBot="1" x14ac:dyDescent="0.35">
      <c r="A31" s="181" t="s">
        <v>132</v>
      </c>
      <c r="B31" s="232"/>
      <c r="C31" s="232" t="e">
        <f>AVERAGE(C14:C20,C22:C28)</f>
        <v>#DIV/0!</v>
      </c>
      <c r="D31" s="232" t="e">
        <f t="shared" ref="D31:J31" si="12">AVERAGE(D14:D20,D22:D28)</f>
        <v>#DIV/0!</v>
      </c>
      <c r="E31" s="233"/>
      <c r="F31" s="233" t="e">
        <f t="shared" si="12"/>
        <v>#DIV/0!</v>
      </c>
      <c r="G31" s="233" t="e">
        <f t="shared" si="12"/>
        <v>#DIV/0!</v>
      </c>
      <c r="H31" s="234"/>
      <c r="I31" s="234" t="e">
        <f t="shared" si="12"/>
        <v>#DIV/0!</v>
      </c>
      <c r="J31" s="234" t="e">
        <f t="shared" si="12"/>
        <v>#DIV/0!</v>
      </c>
      <c r="K31" s="235"/>
      <c r="L31" s="235" t="e">
        <f>AVERAGE(L14:L20,L22:L28)</f>
        <v>#DIV/0!</v>
      </c>
      <c r="M31" s="235" t="e">
        <f t="shared" ref="M31" si="13">AVERAGE(M14:M20,M22:M28)</f>
        <v>#DIV/0!</v>
      </c>
      <c r="N31" s="236"/>
      <c r="O31" s="236" t="e">
        <f t="shared" ref="O31:P31" si="14">AVERAGE(O14:O20,O22:O28)</f>
        <v>#DIV/0!</v>
      </c>
      <c r="P31" s="236" t="e">
        <f t="shared" si="14"/>
        <v>#DIV/0!</v>
      </c>
      <c r="Q31" s="237"/>
      <c r="R31" s="237" t="e">
        <f t="shared" ref="R31:S31" si="15">AVERAGE(R14:R20,R22:R28)</f>
        <v>#DIV/0!</v>
      </c>
      <c r="S31" s="237" t="e">
        <f t="shared" si="15"/>
        <v>#DIV/0!</v>
      </c>
    </row>
    <row r="32" spans="1:19" ht="15" customHeight="1" x14ac:dyDescent="0.3">
      <c r="A32" s="277"/>
      <c r="C32" s="326"/>
      <c r="D32" s="326"/>
      <c r="F32" s="326"/>
      <c r="G32" s="326"/>
      <c r="I32" s="326"/>
      <c r="J32" s="326"/>
    </row>
    <row r="33" spans="1:3" ht="15" customHeight="1" x14ac:dyDescent="0.3">
      <c r="A33" s="278"/>
    </row>
    <row r="34" spans="1:3" ht="15" customHeight="1" x14ac:dyDescent="0.3">
      <c r="C34" s="274"/>
    </row>
    <row r="35" spans="1:3" ht="31.5" customHeight="1" x14ac:dyDescent="0.3"/>
    <row r="36" spans="1:3" x14ac:dyDescent="0.3"/>
    <row r="37" spans="1:3" x14ac:dyDescent="0.3"/>
    <row r="38" spans="1:3" x14ac:dyDescent="0.3"/>
    <row r="39" spans="1:3" x14ac:dyDescent="0.3"/>
    <row r="40" spans="1:3" x14ac:dyDescent="0.3"/>
    <row r="41" spans="1:3" x14ac:dyDescent="0.3"/>
    <row r="42" spans="1:3" x14ac:dyDescent="0.3"/>
    <row r="43" spans="1:3" x14ac:dyDescent="0.3"/>
    <row r="44" spans="1:3" x14ac:dyDescent="0.3"/>
    <row r="45" spans="1:3" x14ac:dyDescent="0.3"/>
    <row r="46" spans="1:3" x14ac:dyDescent="0.3"/>
    <row r="47" spans="1:3" ht="6.75" customHeight="1" x14ac:dyDescent="0.3"/>
    <row r="48" spans="1:3" x14ac:dyDescent="0.3"/>
  </sheetData>
  <mergeCells count="39">
    <mergeCell ref="B7:C7"/>
    <mergeCell ref="A1:J1"/>
    <mergeCell ref="A2:J2"/>
    <mergeCell ref="B3:C3"/>
    <mergeCell ref="D3:J3"/>
    <mergeCell ref="B6:C6"/>
    <mergeCell ref="F6:G6"/>
    <mergeCell ref="F7:G7"/>
    <mergeCell ref="D4:J4"/>
    <mergeCell ref="D5:J5"/>
    <mergeCell ref="B8:C8"/>
    <mergeCell ref="B10:J10"/>
    <mergeCell ref="A11:A13"/>
    <mergeCell ref="B11:D11"/>
    <mergeCell ref="E11:G11"/>
    <mergeCell ref="H11:J11"/>
    <mergeCell ref="B12:B13"/>
    <mergeCell ref="C12:D12"/>
    <mergeCell ref="E12:E13"/>
    <mergeCell ref="F12:G12"/>
    <mergeCell ref="H12:H13"/>
    <mergeCell ref="I12:J12"/>
    <mergeCell ref="F8:G8"/>
    <mergeCell ref="R12:S12"/>
    <mergeCell ref="A14:A20"/>
    <mergeCell ref="A22:A28"/>
    <mergeCell ref="C32:D32"/>
    <mergeCell ref="F32:G32"/>
    <mergeCell ref="I32:J32"/>
    <mergeCell ref="K12:K13"/>
    <mergeCell ref="L12:M12"/>
    <mergeCell ref="N12:N13"/>
    <mergeCell ref="O12:P12"/>
    <mergeCell ref="Q12:Q13"/>
    <mergeCell ref="K8:S9"/>
    <mergeCell ref="K10:S10"/>
    <mergeCell ref="K11:M11"/>
    <mergeCell ref="N11:P11"/>
    <mergeCell ref="Q11:S11"/>
  </mergeCells>
  <hyperlinks>
    <hyperlink ref="D3" r:id="rId1" display="www.google.com" xr:uid="{F516CCD4-8B1D-4714-8363-956BCEF418CB}"/>
  </hyperlinks>
  <pageMargins left="0.7" right="0.7" top="0.75" bottom="0.75" header="0.3" footer="0.3"/>
  <pageSetup scale="58" orientation="landscape" r:id="rId2"/>
  <headerFooter>
    <oddFooter>&amp;RPublish Date: Feb. 2021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E0F913-A538-446A-AFC1-246272AD831C}">
          <x14:formula1>
            <xm:f>Times!$A$1:$A$96</xm:f>
          </x14:formula1>
          <xm:sqref>D6:D8 H6:H8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1"/>
  </sheetPr>
  <dimension ref="A1:F21"/>
  <sheetViews>
    <sheetView showGridLines="0" showRowColHeaders="0" zoomScaleNormal="100" workbookViewId="0">
      <selection activeCell="E13" sqref="E13"/>
    </sheetView>
  </sheetViews>
  <sheetFormatPr defaultColWidth="0" defaultRowHeight="14.4" zeroHeight="1" x14ac:dyDescent="0.3"/>
  <cols>
    <col min="1" max="1" width="9.44140625" customWidth="1"/>
    <col min="2" max="2" width="32.88671875" customWidth="1"/>
    <col min="3" max="3" width="15.44140625" customWidth="1"/>
    <col min="4" max="4" width="15.88671875" customWidth="1"/>
    <col min="5" max="5" width="14.88671875" customWidth="1"/>
    <col min="6" max="6" width="5.6640625" hidden="1" customWidth="1"/>
    <col min="7" max="16384" width="9.109375" hidden="1"/>
  </cols>
  <sheetData>
    <row r="1" spans="1:5" ht="30" customHeight="1" x14ac:dyDescent="0.3">
      <c r="A1" s="366" t="s">
        <v>75</v>
      </c>
      <c r="B1" s="366"/>
      <c r="C1" s="366"/>
      <c r="D1" s="366"/>
      <c r="E1" s="366"/>
    </row>
    <row r="2" spans="1:5" x14ac:dyDescent="0.3">
      <c r="A2" s="367" t="str">
        <f>"Corridor:  "&amp;'Corridor Information'!B2</f>
        <v xml:space="preserve">Corridor:  </v>
      </c>
      <c r="B2" s="367"/>
      <c r="C2" s="367"/>
      <c r="D2" s="367"/>
      <c r="E2" s="367"/>
    </row>
    <row r="3" spans="1:5" ht="15" thickBot="1" x14ac:dyDescent="0.35"/>
    <row r="4" spans="1:5" ht="15" thickBot="1" x14ac:dyDescent="0.35">
      <c r="B4" s="294" t="s">
        <v>49</v>
      </c>
      <c r="C4" s="371"/>
      <c r="D4" s="295"/>
    </row>
    <row r="5" spans="1:5" ht="29.4" thickBot="1" x14ac:dyDescent="0.35">
      <c r="B5" s="17" t="s">
        <v>24</v>
      </c>
      <c r="C5" s="16" t="s">
        <v>52</v>
      </c>
      <c r="D5" s="6" t="s">
        <v>53</v>
      </c>
    </row>
    <row r="6" spans="1:5" x14ac:dyDescent="0.3">
      <c r="B6" s="8" t="s">
        <v>25</v>
      </c>
      <c r="C6" s="238" t="e">
        <f>((519.1*'Corridor Information'!$C$16)+(77950.59/'INRIX Data - Speed'!C$31))/1000</f>
        <v>#N/A</v>
      </c>
      <c r="D6" s="240" t="e">
        <f>((519.1*'Corridor Information'!$C$16)+(77950.59/'INRIX Data - Speed'!D$31))/1000</f>
        <v>#N/A</v>
      </c>
    </row>
    <row r="7" spans="1:5" x14ac:dyDescent="0.3">
      <c r="B7" s="9" t="s">
        <v>26</v>
      </c>
      <c r="C7" s="239" t="e">
        <f>((519.1*'Corridor Information'!$C$16)+(77950.59/'INRIX Data - Speed'!F$31))/1000</f>
        <v>#N/A</v>
      </c>
      <c r="D7" s="241" t="e">
        <f>((519.1*'Corridor Information'!$C$16)+(77950.59/'INRIX Data - Speed'!G$31))/1000</f>
        <v>#N/A</v>
      </c>
    </row>
    <row r="8" spans="1:5" ht="15" thickBot="1" x14ac:dyDescent="0.35">
      <c r="B8" s="24" t="s">
        <v>27</v>
      </c>
      <c r="C8" s="283" t="e">
        <f>((519.1*'Corridor Information'!$C$16)+(77950.59/'INRIX Data - Speed'!I$31))/1000</f>
        <v>#N/A</v>
      </c>
      <c r="D8" s="284" t="e">
        <f>((519.1*'Corridor Information'!$C$16)+(77950.59/'INRIX Data - Speed'!J$31))/1000</f>
        <v>#N/A</v>
      </c>
    </row>
    <row r="9" spans="1:5" x14ac:dyDescent="0.3">
      <c r="B9" s="280" t="s">
        <v>92</v>
      </c>
      <c r="C9" s="281" t="e">
        <f>SUM(C6:C8)</f>
        <v>#N/A</v>
      </c>
      <c r="D9" s="282" t="e">
        <f>SUM(D6:D8)</f>
        <v>#N/A</v>
      </c>
    </row>
    <row r="10" spans="1:5" x14ac:dyDescent="0.3">
      <c r="B10" s="109" t="s">
        <v>95</v>
      </c>
      <c r="C10" s="110" t="e">
        <f>C9/8.89</f>
        <v>#N/A</v>
      </c>
      <c r="D10" s="4" t="e">
        <f>D9/8.89</f>
        <v>#N/A</v>
      </c>
    </row>
    <row r="11" spans="1:5" ht="15" thickBot="1" x14ac:dyDescent="0.35">
      <c r="B11" s="11" t="s">
        <v>30</v>
      </c>
      <c r="C11" s="384" t="e">
        <f>C10-D10</f>
        <v>#N/A</v>
      </c>
      <c r="D11" s="385"/>
    </row>
    <row r="12" spans="1:5" ht="15" thickBot="1" x14ac:dyDescent="0.35"/>
    <row r="13" spans="1:5" ht="15" thickBot="1" x14ac:dyDescent="0.35">
      <c r="B13" s="386" t="s">
        <v>112</v>
      </c>
      <c r="C13" s="387"/>
    </row>
    <row r="14" spans="1:5" x14ac:dyDescent="0.3">
      <c r="B14" s="111" t="s">
        <v>31</v>
      </c>
      <c r="C14" s="22">
        <f>'Corridor Information'!C9</f>
        <v>0</v>
      </c>
    </row>
    <row r="15" spans="1:5" ht="15" thickBot="1" x14ac:dyDescent="0.35">
      <c r="B15" s="112" t="s">
        <v>48</v>
      </c>
      <c r="C15" s="113">
        <v>260</v>
      </c>
    </row>
    <row r="16" spans="1:5" ht="15" thickBot="1" x14ac:dyDescent="0.35"/>
    <row r="17" spans="2:3" ht="15" thickBot="1" x14ac:dyDescent="0.35">
      <c r="B17" s="382" t="s">
        <v>99</v>
      </c>
      <c r="C17" s="383"/>
    </row>
    <row r="18" spans="2:3" x14ac:dyDescent="0.3">
      <c r="B18" s="111" t="s">
        <v>50</v>
      </c>
      <c r="C18" s="114">
        <f>'Reference Sheet'!D12</f>
        <v>3.41</v>
      </c>
    </row>
    <row r="19" spans="2:3" x14ac:dyDescent="0.3">
      <c r="B19" s="115" t="s">
        <v>97</v>
      </c>
      <c r="C19" s="116" t="e">
        <f>ROUND(C11*C15*VLOOKUP('Corridor Information'!C11,'functional classifications'!A2:C11,3),0)</f>
        <v>#N/A</v>
      </c>
    </row>
    <row r="20" spans="2:3" ht="15" thickBot="1" x14ac:dyDescent="0.35">
      <c r="B20" s="112" t="s">
        <v>51</v>
      </c>
      <c r="C20" s="117" t="e">
        <f>ROUND(C18*C11*C15*VLOOKUP('Corridor Information'!C11,'functional classifications'!A2:C11,3),0)</f>
        <v>#N/A</v>
      </c>
    </row>
    <row r="21" spans="2:3" x14ac:dyDescent="0.3"/>
  </sheetData>
  <sheetProtection algorithmName="SHA-512" hashValue="3yt0I5AcItqJHJUDOTuij36SyxuP5AoVnIJuV4AKANFJNzc3B4wu3cjZQw3GrObAccTLPTWfxbe5GhBmuVibaA==" saltValue="v2cv6VqLuVI+kUhaED0qMQ==" spinCount="100000" sheet="1" objects="1" scenarios="1"/>
  <mergeCells count="6">
    <mergeCell ref="B17:C17"/>
    <mergeCell ref="A1:E1"/>
    <mergeCell ref="A2:E2"/>
    <mergeCell ref="B4:D4"/>
    <mergeCell ref="C11:D11"/>
    <mergeCell ref="B13:C13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1"/>
  </sheetPr>
  <dimension ref="A1:F35"/>
  <sheetViews>
    <sheetView showGridLines="0" showRowColHeaders="0" zoomScaleNormal="100" workbookViewId="0">
      <selection sqref="A1:E1"/>
    </sheetView>
  </sheetViews>
  <sheetFormatPr defaultColWidth="0" defaultRowHeight="14.4" zeroHeight="1" x14ac:dyDescent="0.3"/>
  <cols>
    <col min="1" max="1" width="9.109375" customWidth="1"/>
    <col min="2" max="2" width="32.6640625" customWidth="1"/>
    <col min="3" max="4" width="16.88671875" customWidth="1"/>
    <col min="5" max="5" width="14.33203125" customWidth="1"/>
    <col min="6" max="6" width="3.44140625" hidden="1" customWidth="1"/>
    <col min="7" max="16384" width="9.109375" hidden="1"/>
  </cols>
  <sheetData>
    <row r="1" spans="1:5" ht="30" customHeight="1" x14ac:dyDescent="0.3">
      <c r="A1" s="366" t="s">
        <v>76</v>
      </c>
      <c r="B1" s="366"/>
      <c r="C1" s="366"/>
      <c r="D1" s="366"/>
      <c r="E1" s="366"/>
    </row>
    <row r="2" spans="1:5" x14ac:dyDescent="0.3">
      <c r="A2" s="367" t="str">
        <f>"Corridor:  "&amp;'Corridor Information'!B2</f>
        <v xml:space="preserve">Corridor:  </v>
      </c>
      <c r="B2" s="367"/>
      <c r="C2" s="367"/>
      <c r="D2" s="367"/>
      <c r="E2" s="367"/>
    </row>
    <row r="3" spans="1:5" ht="15" thickBot="1" x14ac:dyDescent="0.35"/>
    <row r="4" spans="1:5" ht="31.5" customHeight="1" thickBot="1" x14ac:dyDescent="0.35">
      <c r="B4" s="401" t="s">
        <v>104</v>
      </c>
      <c r="C4" s="402"/>
      <c r="D4" s="403"/>
    </row>
    <row r="5" spans="1:5" ht="29.4" thickBot="1" x14ac:dyDescent="0.35">
      <c r="B5" s="17" t="s">
        <v>24</v>
      </c>
      <c r="C5" s="293" t="s">
        <v>89</v>
      </c>
      <c r="D5" s="6" t="s">
        <v>91</v>
      </c>
    </row>
    <row r="6" spans="1:5" x14ac:dyDescent="0.3">
      <c r="B6" s="285" t="s">
        <v>25</v>
      </c>
      <c r="C6" s="242" t="e">
        <f>(10.8622*'Corridor Information'!$C$16)+3037.8036*(1/'INRIX Data - Speed'!C31)</f>
        <v>#N/A</v>
      </c>
      <c r="D6" s="292" t="e">
        <f>(10.8622*'Corridor Information'!$C$16)+3037.8036*(1/'INRIX Data - Speed'!D31)</f>
        <v>#N/A</v>
      </c>
    </row>
    <row r="7" spans="1:5" x14ac:dyDescent="0.3">
      <c r="B7" s="286" t="s">
        <v>26</v>
      </c>
      <c r="C7" s="245" t="e">
        <f>(10.8622*'Corridor Information'!$C$16)+3037.8036*(1/'INRIX Data - Speed'!F31)</f>
        <v>#N/A</v>
      </c>
      <c r="D7" s="290" t="e">
        <f>(10.8622*'Corridor Information'!$C$16)+3037.8036*(1/'INRIX Data - Speed'!G31)</f>
        <v>#N/A</v>
      </c>
    </row>
    <row r="8" spans="1:5" ht="15" thickBot="1" x14ac:dyDescent="0.35">
      <c r="B8" s="287" t="s">
        <v>27</v>
      </c>
      <c r="C8" s="247" t="e">
        <f>(10.8622*'Corridor Information'!$C$16)+3037.8036*(1/'INRIX Data - Speed'!I31)</f>
        <v>#N/A</v>
      </c>
      <c r="D8" s="291" t="e">
        <f>(10.8622*'Corridor Information'!$C$16)+3037.8036*(1/'INRIX Data - Speed'!J31)</f>
        <v>#N/A</v>
      </c>
    </row>
    <row r="9" spans="1:5" x14ac:dyDescent="0.3">
      <c r="B9" s="289" t="s">
        <v>90</v>
      </c>
      <c r="C9" s="288" t="e">
        <f>SUM(C6:C8)*0.001</f>
        <v>#N/A</v>
      </c>
      <c r="D9" s="20" t="e">
        <f>SUM(D6:D8)*0.001</f>
        <v>#N/A</v>
      </c>
    </row>
    <row r="10" spans="1:5" ht="15" thickBot="1" x14ac:dyDescent="0.35">
      <c r="B10" s="11" t="s">
        <v>101</v>
      </c>
      <c r="C10" s="399" t="e">
        <f>(C9-D9)*0.001</f>
        <v>#N/A</v>
      </c>
      <c r="D10" s="400"/>
    </row>
    <row r="11" spans="1:5" ht="15" thickBot="1" x14ac:dyDescent="0.35"/>
    <row r="12" spans="1:5" ht="35.25" customHeight="1" thickBot="1" x14ac:dyDescent="0.35">
      <c r="B12" s="401" t="s">
        <v>105</v>
      </c>
      <c r="C12" s="402"/>
      <c r="D12" s="403"/>
    </row>
    <row r="13" spans="1:5" ht="29.4" thickBot="1" x14ac:dyDescent="0.35">
      <c r="B13" s="17" t="s">
        <v>24</v>
      </c>
      <c r="C13" s="16" t="s">
        <v>89</v>
      </c>
      <c r="D13" s="6" t="s">
        <v>91</v>
      </c>
    </row>
    <row r="14" spans="1:5" x14ac:dyDescent="0.3">
      <c r="B14" s="8" t="s">
        <v>25</v>
      </c>
      <c r="C14" s="242" t="e">
        <f>(1.23458*'Corridor Information'!$C$16)+196.09465*(1/'INRIX Data - Speed'!C$31)</f>
        <v>#N/A</v>
      </c>
      <c r="D14" s="243" t="e">
        <f>(1.23458*'Corridor Information'!$C$16)+196.09465*(1/'INRIX Data - Speed'!D$31)</f>
        <v>#N/A</v>
      </c>
    </row>
    <row r="15" spans="1:5" x14ac:dyDescent="0.3">
      <c r="B15" s="9" t="s">
        <v>26</v>
      </c>
      <c r="C15" s="245" t="e">
        <f>(1.23458*'Corridor Information'!$C$16)+196.09465*(1/'INRIX Data - Speed'!F$31)</f>
        <v>#N/A</v>
      </c>
      <c r="D15" s="246" t="e">
        <f>(1.23458*'Corridor Information'!$C$16)+196.09465*(1/'INRIX Data - Speed'!G$31)</f>
        <v>#N/A</v>
      </c>
    </row>
    <row r="16" spans="1:5" ht="15" thickBot="1" x14ac:dyDescent="0.35">
      <c r="B16" s="24" t="s">
        <v>27</v>
      </c>
      <c r="C16" s="247" t="e">
        <f>(1.23458*'Corridor Information'!$C$16)+196.09465*(1/'INRIX Data - Speed'!I$31)</f>
        <v>#N/A</v>
      </c>
      <c r="D16" s="248" t="e">
        <f>(1.23458*'Corridor Information'!$C$16)+196.09465*(1/'INRIX Data - Speed'!J$31)</f>
        <v>#N/A</v>
      </c>
    </row>
    <row r="17" spans="2:5" x14ac:dyDescent="0.3">
      <c r="B17" s="27" t="s">
        <v>90</v>
      </c>
      <c r="C17" s="244" t="e">
        <f>SUM(C14:C16)*0.001</f>
        <v>#N/A</v>
      </c>
      <c r="D17" s="26" t="e">
        <f>SUM(D14:D16)*0.001</f>
        <v>#N/A</v>
      </c>
    </row>
    <row r="18" spans="2:5" ht="15" thickBot="1" x14ac:dyDescent="0.35">
      <c r="B18" s="11" t="s">
        <v>101</v>
      </c>
      <c r="C18" s="399" t="e">
        <f>(C17-D17)*0.001</f>
        <v>#N/A</v>
      </c>
      <c r="D18" s="400"/>
    </row>
    <row r="19" spans="2:5" ht="15" thickBot="1" x14ac:dyDescent="0.35"/>
    <row r="20" spans="2:5" ht="30" customHeight="1" thickBot="1" x14ac:dyDescent="0.35">
      <c r="B20" s="401" t="s">
        <v>106</v>
      </c>
      <c r="C20" s="402"/>
      <c r="D20" s="403"/>
    </row>
    <row r="21" spans="2:5" ht="29.4" thickBot="1" x14ac:dyDescent="0.35">
      <c r="B21" s="17" t="s">
        <v>24</v>
      </c>
      <c r="C21" s="16" t="s">
        <v>89</v>
      </c>
      <c r="D21" s="6" t="s">
        <v>91</v>
      </c>
    </row>
    <row r="22" spans="2:5" x14ac:dyDescent="0.3">
      <c r="B22" s="8" t="s">
        <v>25</v>
      </c>
      <c r="C22" s="242" t="e">
        <f>(0.004392*'Corridor Information'!$C$16)+9.717131*(1/'INRIX Data - Speed'!C$31)</f>
        <v>#N/A</v>
      </c>
      <c r="D22" s="243" t="e">
        <f>(0.004392*'Corridor Information'!$C$16)+9.717131*(1/'INRIX Data - Speed'!D$31)</f>
        <v>#N/A</v>
      </c>
    </row>
    <row r="23" spans="2:5" x14ac:dyDescent="0.3">
      <c r="B23" s="9" t="s">
        <v>26</v>
      </c>
      <c r="C23" s="245" t="e">
        <f>(1.23458*'Corridor Information'!$C$16)+196.09465*(1/'INRIX Data - Speed'!F$31)</f>
        <v>#N/A</v>
      </c>
      <c r="D23" s="246" t="e">
        <f>(1.23458*'Corridor Information'!$C$16)+196.09465*(1/'INRIX Data - Speed'!G$31)</f>
        <v>#N/A</v>
      </c>
    </row>
    <row r="24" spans="2:5" ht="15" thickBot="1" x14ac:dyDescent="0.35">
      <c r="B24" s="25" t="s">
        <v>27</v>
      </c>
      <c r="C24" s="249" t="e">
        <f>(1.23458*'Corridor Information'!$C$16)+196.09465*(1/'INRIX Data - Speed'!I$31)</f>
        <v>#N/A</v>
      </c>
      <c r="D24" s="250" t="e">
        <f>(1.23458*'Corridor Information'!$C$16)+196.09465*(1/'INRIX Data - Speed'!J$31)</f>
        <v>#N/A</v>
      </c>
      <c r="E24" s="48"/>
    </row>
    <row r="25" spans="2:5" x14ac:dyDescent="0.3">
      <c r="B25" s="27" t="s">
        <v>92</v>
      </c>
      <c r="C25" s="244" t="e">
        <f>SUM(C22:C24)*0.001</f>
        <v>#N/A</v>
      </c>
      <c r="D25" s="26" t="e">
        <f>SUM(D22:D24)*0.001</f>
        <v>#N/A</v>
      </c>
    </row>
    <row r="26" spans="2:5" ht="15" thickBot="1" x14ac:dyDescent="0.35">
      <c r="B26" s="11" t="s">
        <v>101</v>
      </c>
      <c r="C26" s="399" t="e">
        <f>(C25-D25)*0.001</f>
        <v>#N/A</v>
      </c>
      <c r="D26" s="400"/>
    </row>
    <row r="27" spans="2:5" ht="15" thickBot="1" x14ac:dyDescent="0.35"/>
    <row r="28" spans="2:5" ht="15" thickBot="1" x14ac:dyDescent="0.35">
      <c r="B28" s="388" t="s">
        <v>98</v>
      </c>
      <c r="C28" s="389"/>
      <c r="D28" s="390"/>
    </row>
    <row r="29" spans="2:5" x14ac:dyDescent="0.3">
      <c r="B29" s="12" t="s">
        <v>100</v>
      </c>
      <c r="C29" s="391" t="e">
        <f>ROUND((C10*'Reference Sheet'!D9)*260*VLOOKUP('Corridor Information'!C11,'functional classifications'!A2:C11,3),0)</f>
        <v>#N/A</v>
      </c>
      <c r="D29" s="392"/>
    </row>
    <row r="30" spans="2:5" x14ac:dyDescent="0.3">
      <c r="B30" s="13" t="s">
        <v>54</v>
      </c>
      <c r="C30" s="393" t="e">
        <f>ROUND((C18*260)*'Reference Sheet'!D10*VLOOKUP('Corridor Information'!C11,'functional classifications'!A2:C11,3),0)</f>
        <v>#N/A</v>
      </c>
      <c r="D30" s="394"/>
    </row>
    <row r="31" spans="2:5" x14ac:dyDescent="0.3">
      <c r="B31" s="13" t="s">
        <v>55</v>
      </c>
      <c r="C31" s="393" t="e">
        <f>ROUND((C26*260)*'Reference Sheet'!D11*VLOOKUP('Corridor Information'!C11,'functional classifications'!A2:C11,3),0)</f>
        <v>#N/A</v>
      </c>
      <c r="D31" s="394"/>
    </row>
    <row r="32" spans="2:5" x14ac:dyDescent="0.3">
      <c r="B32" s="13" t="s">
        <v>102</v>
      </c>
      <c r="C32" s="397" t="e">
        <f>ROUND(SUM(C26,C18,C10)*1000,1)</f>
        <v>#N/A</v>
      </c>
      <c r="D32" s="398"/>
    </row>
    <row r="33" spans="2:4" ht="15" thickBot="1" x14ac:dyDescent="0.35">
      <c r="B33" s="56" t="s">
        <v>56</v>
      </c>
      <c r="C33" s="395" t="e">
        <f>SUM(C29:D31)</f>
        <v>#N/A</v>
      </c>
      <c r="D33" s="396"/>
    </row>
    <row r="34" spans="2:4" ht="9" customHeight="1" x14ac:dyDescent="0.3"/>
    <row r="35" spans="2:4" x14ac:dyDescent="0.3"/>
  </sheetData>
  <sheetProtection algorithmName="SHA-512" hashValue="eiLjAA4czBksvIP+fX7mPQ4jY8dZqarjp2QPyOTI9aPt/4WLH2O7GsypIkLzfxefoIfsYOoKQOaQTnxlt/6PoA==" saltValue="XeegmCGRMjwTUJd9sGKOCg==" spinCount="100000" sheet="1" objects="1" scenarios="1"/>
  <mergeCells count="14">
    <mergeCell ref="C26:D26"/>
    <mergeCell ref="C10:D10"/>
    <mergeCell ref="C18:D18"/>
    <mergeCell ref="A1:E1"/>
    <mergeCell ref="A2:E2"/>
    <mergeCell ref="B4:D4"/>
    <mergeCell ref="B12:D12"/>
    <mergeCell ref="B20:D20"/>
    <mergeCell ref="B28:D28"/>
    <mergeCell ref="C29:D29"/>
    <mergeCell ref="C30:D30"/>
    <mergeCell ref="C31:D31"/>
    <mergeCell ref="C33:D33"/>
    <mergeCell ref="C32:D32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1"/>
    <pageSetUpPr autoPageBreaks="0" fitToPage="1"/>
  </sheetPr>
  <dimension ref="A1:N82"/>
  <sheetViews>
    <sheetView showGridLines="0" defaultGridColor="0" colorId="23" zoomScale="85" zoomScaleNormal="85" workbookViewId="0">
      <selection activeCell="D28" sqref="D28"/>
    </sheetView>
  </sheetViews>
  <sheetFormatPr defaultColWidth="0" defaultRowHeight="14.4" zeroHeight="1" x14ac:dyDescent="0.3"/>
  <cols>
    <col min="1" max="1" width="24.5546875" style="119" customWidth="1"/>
    <col min="2" max="2" width="32.5546875" style="108" bestFit="1" customWidth="1"/>
    <col min="3" max="3" width="22.33203125" style="108" customWidth="1"/>
    <col min="4" max="4" width="19.109375" style="118" customWidth="1"/>
    <col min="5" max="5" width="27.44140625" style="119" customWidth="1"/>
    <col min="6" max="6" width="19.6640625" style="119" customWidth="1"/>
    <col min="7" max="7" width="25.5546875" style="119" customWidth="1"/>
    <col min="8" max="8" width="16.88671875" hidden="1" customWidth="1"/>
    <col min="9" max="9" width="11.33203125" hidden="1" customWidth="1"/>
    <col min="10" max="10" width="15" hidden="1" customWidth="1"/>
    <col min="11" max="11" width="13.88671875" hidden="1" customWidth="1"/>
    <col min="12" max="12" width="15.109375" hidden="1" customWidth="1"/>
    <col min="13" max="14" width="11.44140625" hidden="1" customWidth="1"/>
  </cols>
  <sheetData>
    <row r="1" spans="1:13" ht="30" customHeight="1" x14ac:dyDescent="0.3">
      <c r="A1" s="297" t="s">
        <v>160</v>
      </c>
      <c r="B1" s="297"/>
      <c r="C1" s="297"/>
      <c r="D1" s="297"/>
      <c r="E1" s="297"/>
      <c r="F1" s="256"/>
      <c r="G1" s="256"/>
    </row>
    <row r="2" spans="1:13" x14ac:dyDescent="0.3">
      <c r="A2"/>
      <c r="B2"/>
      <c r="C2"/>
      <c r="D2" s="257"/>
      <c r="E2" s="258"/>
      <c r="F2" s="258"/>
      <c r="G2" s="258"/>
    </row>
    <row r="3" spans="1:13" s="2" customFormat="1" ht="43.2" x14ac:dyDescent="0.3">
      <c r="A3" s="259" t="s">
        <v>0</v>
      </c>
      <c r="B3" s="259" t="s">
        <v>1</v>
      </c>
      <c r="C3" s="259" t="s">
        <v>2</v>
      </c>
      <c r="D3" s="260" t="s">
        <v>157</v>
      </c>
      <c r="E3" s="261" t="s">
        <v>3</v>
      </c>
      <c r="F3" s="262"/>
      <c r="G3" s="262"/>
    </row>
    <row r="4" spans="1:13" x14ac:dyDescent="0.3">
      <c r="A4" s="404" t="s">
        <v>4</v>
      </c>
      <c r="B4" s="410" t="s">
        <v>5</v>
      </c>
      <c r="C4" s="263" t="s">
        <v>6</v>
      </c>
      <c r="D4" s="264">
        <v>23.12</v>
      </c>
      <c r="E4" s="407" t="s">
        <v>7</v>
      </c>
      <c r="F4" s="265"/>
      <c r="G4" s="265"/>
    </row>
    <row r="5" spans="1:13" x14ac:dyDescent="0.3">
      <c r="A5" s="406"/>
      <c r="B5" s="411"/>
      <c r="C5" s="263" t="s">
        <v>8</v>
      </c>
      <c r="D5" s="264">
        <v>64.680000000000007</v>
      </c>
      <c r="E5" s="409"/>
      <c r="F5" s="265"/>
      <c r="G5" s="265"/>
    </row>
    <row r="6" spans="1:13" x14ac:dyDescent="0.3">
      <c r="A6" s="404" t="s">
        <v>9</v>
      </c>
      <c r="B6" s="266" t="s">
        <v>10</v>
      </c>
      <c r="C6" s="263" t="s">
        <v>11</v>
      </c>
      <c r="D6" s="264">
        <v>11008</v>
      </c>
      <c r="E6" s="407" t="s">
        <v>148</v>
      </c>
      <c r="F6" s="265"/>
      <c r="G6" s="265"/>
    </row>
    <row r="7" spans="1:13" x14ac:dyDescent="0.3">
      <c r="A7" s="405"/>
      <c r="B7" s="266" t="s">
        <v>41</v>
      </c>
      <c r="C7" s="263" t="s">
        <v>11</v>
      </c>
      <c r="D7" s="264">
        <v>72068</v>
      </c>
      <c r="E7" s="408"/>
      <c r="F7" s="265"/>
      <c r="G7" s="265"/>
    </row>
    <row r="8" spans="1:13" x14ac:dyDescent="0.3">
      <c r="A8" s="406"/>
      <c r="B8" s="266" t="s">
        <v>12</v>
      </c>
      <c r="C8" s="263" t="s">
        <v>11</v>
      </c>
      <c r="D8" s="264">
        <v>2142320</v>
      </c>
      <c r="E8" s="409"/>
      <c r="F8" s="265"/>
      <c r="G8" s="265"/>
    </row>
    <row r="9" spans="1:13" x14ac:dyDescent="0.3">
      <c r="A9" s="404" t="s">
        <v>13</v>
      </c>
      <c r="B9" s="266" t="s">
        <v>14</v>
      </c>
      <c r="C9" s="263" t="s">
        <v>15</v>
      </c>
      <c r="D9" s="264">
        <v>175</v>
      </c>
      <c r="E9" s="407" t="s">
        <v>149</v>
      </c>
      <c r="F9" s="265"/>
      <c r="G9" s="265"/>
    </row>
    <row r="10" spans="1:13" x14ac:dyDescent="0.3">
      <c r="A10" s="405"/>
      <c r="B10" s="266" t="s">
        <v>17</v>
      </c>
      <c r="C10" s="263" t="s">
        <v>15</v>
      </c>
      <c r="D10" s="264">
        <v>6344</v>
      </c>
      <c r="E10" s="408"/>
      <c r="F10" s="265"/>
      <c r="G10" s="265"/>
    </row>
    <row r="11" spans="1:13" x14ac:dyDescent="0.3">
      <c r="A11" s="406"/>
      <c r="B11" s="266" t="s">
        <v>18</v>
      </c>
      <c r="C11" s="263" t="s">
        <v>15</v>
      </c>
      <c r="D11" s="264">
        <v>4813</v>
      </c>
      <c r="E11" s="409"/>
      <c r="F11" s="265"/>
      <c r="G11" s="265"/>
    </row>
    <row r="12" spans="1:13" x14ac:dyDescent="0.3">
      <c r="A12" s="267" t="s">
        <v>19</v>
      </c>
      <c r="B12" s="266" t="s">
        <v>20</v>
      </c>
      <c r="C12" s="263" t="s">
        <v>21</v>
      </c>
      <c r="D12" s="268">
        <v>3.41</v>
      </c>
      <c r="E12" s="269" t="s">
        <v>16</v>
      </c>
      <c r="F12" s="265"/>
      <c r="G12" s="265"/>
    </row>
    <row r="13" spans="1:13" x14ac:dyDescent="0.3">
      <c r="A13" s="258"/>
      <c r="B13"/>
      <c r="C13"/>
      <c r="D13" s="257"/>
      <c r="E13" s="258"/>
      <c r="F13" s="258"/>
      <c r="G13" s="258"/>
    </row>
    <row r="14" spans="1:13" x14ac:dyDescent="0.3">
      <c r="A14" s="270" t="s">
        <v>22</v>
      </c>
      <c r="B14"/>
      <c r="C14"/>
      <c r="D14" s="257"/>
      <c r="E14" s="258"/>
      <c r="F14" s="258"/>
      <c r="G14" s="258"/>
    </row>
    <row r="15" spans="1:13" x14ac:dyDescent="0.3">
      <c r="A15" s="412" t="s">
        <v>161</v>
      </c>
      <c r="B15" s="412"/>
      <c r="C15" s="412"/>
      <c r="D15" s="412"/>
      <c r="E15" s="412"/>
      <c r="F15" s="258"/>
      <c r="G15" s="270"/>
      <c r="H15" s="1"/>
      <c r="I15" s="1"/>
      <c r="J15" s="1"/>
      <c r="K15" s="1"/>
      <c r="L15" s="1"/>
      <c r="M15" s="1"/>
    </row>
    <row r="16" spans="1:13" x14ac:dyDescent="0.3">
      <c r="A16" s="412" t="s">
        <v>159</v>
      </c>
      <c r="B16" s="412"/>
      <c r="C16" s="412"/>
      <c r="D16" s="412"/>
      <c r="E16" s="412"/>
      <c r="F16" s="412"/>
      <c r="G16" s="270"/>
      <c r="H16" s="1"/>
      <c r="I16" s="1"/>
      <c r="J16" s="1"/>
      <c r="K16" s="1"/>
      <c r="L16" s="1"/>
      <c r="M16" s="1"/>
    </row>
    <row r="17" spans="1:13" ht="24.75" customHeight="1" x14ac:dyDescent="0.3">
      <c r="A17" s="413" t="s">
        <v>158</v>
      </c>
      <c r="B17" s="413"/>
      <c r="C17" s="413"/>
      <c r="D17" s="413"/>
      <c r="E17" s="413"/>
      <c r="F17" s="413"/>
      <c r="G17" s="413"/>
      <c r="H17" s="1"/>
      <c r="I17" s="1"/>
      <c r="J17" s="1"/>
      <c r="K17" s="1"/>
      <c r="L17" s="1"/>
      <c r="M17" s="1"/>
    </row>
    <row r="18" spans="1:13" x14ac:dyDescent="0.3">
      <c r="A18" s="412" t="s">
        <v>145</v>
      </c>
      <c r="B18" s="412"/>
      <c r="C18" s="412"/>
      <c r="D18" s="412"/>
      <c r="E18" s="412"/>
      <c r="F18" s="412"/>
      <c r="G18" s="270"/>
      <c r="H18" s="1"/>
      <c r="I18" s="1"/>
      <c r="J18" s="1"/>
      <c r="K18" s="1"/>
      <c r="L18" s="1"/>
      <c r="M18" s="1"/>
    </row>
    <row r="19" spans="1:13" x14ac:dyDescent="0.3">
      <c r="A19" s="412" t="s">
        <v>153</v>
      </c>
      <c r="B19" s="412"/>
      <c r="C19" s="412"/>
      <c r="D19" s="412"/>
      <c r="E19" s="412"/>
      <c r="F19" s="270"/>
      <c r="G19" s="270"/>
      <c r="H19" s="1"/>
      <c r="I19" s="1"/>
      <c r="J19" s="1"/>
      <c r="K19" s="1"/>
      <c r="L19" s="1"/>
      <c r="M19" s="1"/>
    </row>
    <row r="20" spans="1:13" x14ac:dyDescent="0.3">
      <c r="A20" s="412" t="s">
        <v>150</v>
      </c>
      <c r="B20" s="412"/>
      <c r="C20" s="412"/>
      <c r="D20" s="412"/>
      <c r="E20" s="412"/>
      <c r="F20" s="270"/>
      <c r="G20" s="270"/>
      <c r="H20" s="1"/>
      <c r="I20" s="1"/>
      <c r="J20" s="1"/>
      <c r="K20" s="1"/>
      <c r="L20" s="1"/>
      <c r="M20" s="1"/>
    </row>
    <row r="21" spans="1:13" x14ac:dyDescent="0.3">
      <c r="A21" s="412" t="s">
        <v>162</v>
      </c>
      <c r="B21" s="412"/>
      <c r="C21" s="412"/>
      <c r="D21" s="412"/>
      <c r="E21" s="412"/>
      <c r="F21" s="270"/>
      <c r="G21" s="270"/>
      <c r="H21" s="1"/>
      <c r="I21" s="1"/>
      <c r="J21" s="1"/>
      <c r="K21" s="1"/>
      <c r="L21" s="1"/>
      <c r="M21" s="1"/>
    </row>
    <row r="22" spans="1:13" x14ac:dyDescent="0.3">
      <c r="A22" s="270" t="s">
        <v>146</v>
      </c>
      <c r="B22" s="1"/>
      <c r="C22" s="1"/>
      <c r="D22" s="271"/>
      <c r="E22" s="270"/>
      <c r="F22" s="270"/>
      <c r="G22" s="270"/>
      <c r="H22" s="1"/>
      <c r="I22" s="1"/>
      <c r="J22" s="1"/>
      <c r="K22" s="1"/>
      <c r="L22" s="1"/>
      <c r="M22" s="1"/>
    </row>
    <row r="23" spans="1:13" x14ac:dyDescent="0.3">
      <c r="A23" s="270" t="s">
        <v>163</v>
      </c>
      <c r="B23" s="1"/>
      <c r="C23" s="1"/>
      <c r="D23" s="271"/>
      <c r="E23" s="270"/>
      <c r="F23" s="270"/>
      <c r="G23" s="270"/>
      <c r="H23" s="1"/>
      <c r="I23" s="1"/>
      <c r="J23" s="1"/>
      <c r="K23" s="1"/>
      <c r="L23" s="1"/>
      <c r="M23" s="1"/>
    </row>
    <row r="24" spans="1:13" x14ac:dyDescent="0.3">
      <c r="A24" s="270" t="s">
        <v>111</v>
      </c>
      <c r="B24" s="1"/>
      <c r="C24" s="1"/>
      <c r="D24" s="271"/>
      <c r="E24" s="270"/>
      <c r="F24" s="270"/>
      <c r="G24" s="270"/>
      <c r="H24" s="1"/>
      <c r="I24" s="1"/>
      <c r="J24" s="1"/>
      <c r="K24" s="1"/>
      <c r="L24" s="1"/>
      <c r="M24" s="1"/>
    </row>
    <row r="25" spans="1:13" x14ac:dyDescent="0.3">
      <c r="A25" s="270" t="s">
        <v>78</v>
      </c>
      <c r="B25" s="1"/>
      <c r="C25" s="1"/>
      <c r="D25" s="271"/>
      <c r="E25" s="270"/>
      <c r="F25" s="270"/>
      <c r="G25" s="270"/>
      <c r="H25" s="1"/>
      <c r="I25" s="1"/>
      <c r="J25" s="1"/>
      <c r="K25" s="1"/>
      <c r="L25" s="1"/>
      <c r="M25" s="1"/>
    </row>
    <row r="26" spans="1:13" x14ac:dyDescent="0.3">
      <c r="A26" s="270" t="s">
        <v>147</v>
      </c>
      <c r="B26" s="1"/>
      <c r="C26" s="1"/>
      <c r="D26" s="271"/>
      <c r="E26" s="270"/>
      <c r="F26" s="270"/>
      <c r="G26" s="270"/>
      <c r="H26" s="1"/>
      <c r="I26" s="1"/>
      <c r="J26" s="1"/>
      <c r="K26" s="1"/>
      <c r="L26" s="1"/>
      <c r="M26" s="1"/>
    </row>
    <row r="27" spans="1:13" x14ac:dyDescent="0.3">
      <c r="A27" s="270"/>
      <c r="B27" s="1"/>
      <c r="C27" s="1"/>
      <c r="D27" s="271"/>
      <c r="E27" s="270"/>
      <c r="F27" s="270"/>
      <c r="G27" s="270"/>
      <c r="H27" s="1"/>
      <c r="I27" s="1"/>
      <c r="J27" s="1"/>
      <c r="K27" s="1"/>
      <c r="L27" s="1"/>
      <c r="M27" s="1"/>
    </row>
    <row r="28" spans="1:13" s="108" customFormat="1" x14ac:dyDescent="0.3">
      <c r="A28" s="105"/>
      <c r="B28" s="106"/>
      <c r="C28" s="106"/>
      <c r="D28" s="107"/>
      <c r="E28" s="105"/>
      <c r="F28" s="105"/>
      <c r="G28" s="105"/>
      <c r="H28" s="106"/>
      <c r="I28" s="106"/>
      <c r="J28" s="106"/>
      <c r="K28" s="106"/>
      <c r="L28" s="106"/>
      <c r="M28" s="106"/>
    </row>
    <row r="29" spans="1:13" hidden="1" x14ac:dyDescent="0.3">
      <c r="A29" s="105"/>
      <c r="B29" s="106"/>
      <c r="C29" s="106"/>
      <c r="D29" s="107"/>
      <c r="E29" s="105"/>
      <c r="F29" s="105"/>
      <c r="G29" s="105"/>
      <c r="H29" s="1"/>
      <c r="I29" s="1"/>
      <c r="J29" s="1"/>
      <c r="K29" s="1"/>
      <c r="L29" s="1"/>
      <c r="M29" s="1"/>
    </row>
    <row r="30" spans="1:13" hidden="1" x14ac:dyDescent="0.3">
      <c r="A30" s="105"/>
      <c r="B30" s="106"/>
      <c r="C30" s="106"/>
      <c r="D30" s="107"/>
      <c r="E30" s="105"/>
      <c r="F30" s="105"/>
      <c r="G30" s="105"/>
      <c r="H30" s="1"/>
      <c r="I30" s="1"/>
      <c r="J30" s="1"/>
      <c r="K30" s="1"/>
      <c r="L30" s="1"/>
      <c r="M30" s="1"/>
    </row>
    <row r="31" spans="1:13" hidden="1" x14ac:dyDescent="0.3">
      <c r="A31" s="105"/>
      <c r="B31" s="106"/>
      <c r="C31" s="106"/>
      <c r="D31" s="107"/>
      <c r="E31" s="105"/>
      <c r="F31" s="105"/>
      <c r="G31" s="105"/>
      <c r="H31" s="1"/>
      <c r="I31" s="1"/>
      <c r="J31" s="1"/>
      <c r="K31" s="1"/>
      <c r="L31" s="1"/>
      <c r="M31" s="1"/>
    </row>
    <row r="32" spans="1:13" hidden="1" x14ac:dyDescent="0.3">
      <c r="A32" s="105"/>
      <c r="B32" s="106"/>
      <c r="C32" s="106"/>
      <c r="D32" s="107"/>
      <c r="E32" s="105"/>
      <c r="F32" s="105"/>
      <c r="G32" s="105"/>
      <c r="H32" s="1"/>
      <c r="I32" s="1"/>
      <c r="J32" s="1"/>
      <c r="K32" s="1"/>
      <c r="L32" s="1"/>
      <c r="M32" s="1"/>
    </row>
    <row r="33" spans="1:13" hidden="1" x14ac:dyDescent="0.3">
      <c r="A33" s="105"/>
      <c r="B33" s="106"/>
      <c r="C33" s="106"/>
      <c r="D33" s="107"/>
      <c r="E33" s="105"/>
      <c r="F33" s="105"/>
      <c r="G33" s="105"/>
      <c r="H33" s="1"/>
      <c r="I33" s="1"/>
      <c r="J33" s="1"/>
      <c r="K33" s="1"/>
      <c r="L33" s="1"/>
      <c r="M33" s="1"/>
    </row>
    <row r="34" spans="1:13" hidden="1" x14ac:dyDescent="0.3">
      <c r="A34" s="105"/>
      <c r="B34" s="106"/>
      <c r="C34" s="106"/>
      <c r="D34" s="107"/>
      <c r="E34" s="105"/>
      <c r="F34" s="105"/>
      <c r="G34" s="105"/>
      <c r="H34" s="1"/>
      <c r="I34" s="1"/>
      <c r="J34" s="1"/>
      <c r="K34" s="1"/>
      <c r="L34" s="1"/>
      <c r="M34" s="1"/>
    </row>
    <row r="35" spans="1:13" hidden="1" x14ac:dyDescent="0.3">
      <c r="A35" s="105"/>
      <c r="G35" s="105"/>
    </row>
    <row r="36" spans="1:13" hidden="1" x14ac:dyDescent="0.3">
      <c r="A36" s="105"/>
    </row>
    <row r="37" spans="1:13" hidden="1" x14ac:dyDescent="0.3">
      <c r="A37" s="105"/>
    </row>
    <row r="46" spans="1:13" x14ac:dyDescent="0.3"/>
    <row r="47" spans="1:13" x14ac:dyDescent="0.3"/>
    <row r="48" spans="1:13" x14ac:dyDescent="0.3"/>
    <row r="57" x14ac:dyDescent="0.3"/>
    <row r="58" x14ac:dyDescent="0.3"/>
    <row r="59" x14ac:dyDescent="0.3"/>
    <row r="66" x14ac:dyDescent="0.3"/>
    <row r="73" x14ac:dyDescent="0.3"/>
    <row r="74" x14ac:dyDescent="0.3"/>
    <row r="75" x14ac:dyDescent="0.3"/>
    <row r="82" x14ac:dyDescent="0.3"/>
  </sheetData>
  <mergeCells count="15">
    <mergeCell ref="A19:E19"/>
    <mergeCell ref="A20:E20"/>
    <mergeCell ref="A21:E21"/>
    <mergeCell ref="A18:F18"/>
    <mergeCell ref="A17:G17"/>
    <mergeCell ref="A15:E15"/>
    <mergeCell ref="A16:F16"/>
    <mergeCell ref="A9:A11"/>
    <mergeCell ref="E9:E11"/>
    <mergeCell ref="A1:E1"/>
    <mergeCell ref="B4:B5"/>
    <mergeCell ref="A4:A5"/>
    <mergeCell ref="E4:E5"/>
    <mergeCell ref="A6:A8"/>
    <mergeCell ref="E6:E8"/>
  </mergeCells>
  <pageMargins left="0.7" right="0.7" top="0.75" bottom="0.75" header="0.3" footer="0.3"/>
  <pageSetup scale="71" orientation="landscape" r:id="rId1"/>
  <headerFooter>
    <oddFooter>&amp;RPublish Date: Feb. 2021</oddFooter>
  </headerFooter>
  <ignoredErrors>
    <ignoredError sqref="E4 E6 E9 E1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9392346E023A479B22EA8CCEB30BB4" ma:contentTypeVersion="9" ma:contentTypeDescription="Create a new document." ma:contentTypeScope="" ma:versionID="259379bc7701797c8f9dbbcae364b53e">
  <xsd:schema xmlns:xsd="http://www.w3.org/2001/XMLSchema" xmlns:xs="http://www.w3.org/2001/XMLSchema" xmlns:p="http://schemas.microsoft.com/office/2006/metadata/properties" xmlns:ns2="02762ea1-f9ce-44b2-82d0-0a582aa90e63" xmlns:ns3="43a8e1b7-d92d-4498-aab1-fbbcaf7cd14c" targetNamespace="http://schemas.microsoft.com/office/2006/metadata/properties" ma:root="true" ma:fieldsID="4940b83e66f7d8c77ce61a912f966434" ns2:_="" ns3:_="">
    <xsd:import namespace="02762ea1-f9ce-44b2-82d0-0a582aa90e63"/>
    <xsd:import namespace="43a8e1b7-d92d-4498-aab1-fbbcaf7cd14c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2:Modification_x0020_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62ea1-f9ce-44b2-82d0-0a582aa90e63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Group" ma:default="1. Project Scope / Sample Report" ma:format="Dropdown" ma:internalName="Group">
      <xsd:simpleType>
        <xsd:union memberTypes="dms:Text">
          <xsd:simpleType>
            <xsd:restriction base="dms:Choice">
              <xsd:enumeration value="1. Project Scope / Sample Report"/>
              <xsd:enumeration value="Appendix A - Executive Report"/>
              <xsd:enumeration value="Appendix B - Estimated Signal Retiming Benefits"/>
              <xsd:enumeration value="Appendix C - Existing Geometrics and Signal Layouts"/>
              <xsd:enumeration value="Appendix D - Signal Timing Summary"/>
              <xsd:enumeration value="Appendix E - Traffic Counts"/>
              <xsd:enumeration value="Appendix F - Traffic Signal Timing Inspection Report"/>
              <xsd:enumeration value="Appendix G - Intersection Summary Diagram"/>
            </xsd:restriction>
          </xsd:simpleType>
        </xsd:union>
      </xsd:simpleType>
    </xsd:element>
    <xsd:element name="Modification_x0020_Date" ma:index="9" nillable="true" ma:displayName="Modification Date" ma:default="[today]" ma:format="DateOnly" ma:internalName="Modification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8e1b7-d92d-4498-aab1-fbbcaf7cd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02762ea1-f9ce-44b2-82d0-0a582aa90e63">Appendix B - Estimated Signal Retiming Benefits</Group>
    <Modification_x0020_Date xmlns="02762ea1-f9ce-44b2-82d0-0a582aa90e63">2024-07-17T04:00:00+00:00</Modification_x0020_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F9A5D-5BD5-4DD2-81F3-14FBF2C8B9F7}"/>
</file>

<file path=customXml/itemProps2.xml><?xml version="1.0" encoding="utf-8"?>
<ds:datastoreItem xmlns:ds="http://schemas.openxmlformats.org/officeDocument/2006/customXml" ds:itemID="{55811D78-F2BD-4B41-890D-6296C119AADD}">
  <ds:schemaRefs>
    <ds:schemaRef ds:uri="http://purl.org/dc/terms/"/>
    <ds:schemaRef ds:uri="http://schemas.openxmlformats.org/package/2006/metadata/core-properties"/>
    <ds:schemaRef ds:uri="45ba9981-1e78-4b1a-8824-fc100da45dc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f5cfbf-cf86-4eb7-ac31-a9fd0075546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AF45E8-B414-4114-9E9A-867744DA97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Summary</vt:lpstr>
      <vt:lpstr>Corridor Information</vt:lpstr>
      <vt:lpstr>INRIX Data - Travel Time</vt:lpstr>
      <vt:lpstr>Delay</vt:lpstr>
      <vt:lpstr>Safety</vt:lpstr>
      <vt:lpstr>INRIX Data - Speed</vt:lpstr>
      <vt:lpstr>Fuel</vt:lpstr>
      <vt:lpstr>Emissions</vt:lpstr>
      <vt:lpstr>Reference Sheet</vt:lpstr>
      <vt:lpstr>Times</vt:lpstr>
      <vt:lpstr>functional classifications</vt:lpstr>
      <vt:lpstr>'Reference Sheet'!Print_Area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Estimated Signal Retiming Benefits-Inrix</dc:title>
  <dc:creator>Ryan Lowe</dc:creator>
  <cp:lastModifiedBy>Mead, Patrick</cp:lastModifiedBy>
  <cp:lastPrinted>2021-02-22T20:11:55Z</cp:lastPrinted>
  <dcterms:created xsi:type="dcterms:W3CDTF">2015-08-28T11:49:48Z</dcterms:created>
  <dcterms:modified xsi:type="dcterms:W3CDTF">2024-06-21T14:46:34Z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0x010100D29392346E023A479B22EA8CCEB30BB4</vt:lpwstr>
  </property>
</Properties>
</file>